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400" windowWidth="19125" windowHeight="6570" activeTab="0"/>
  </bookViews>
  <sheets>
    <sheet name="Instructions" sheetId="1" r:id="rId1"/>
    <sheet name="Explanation of Input Fields" sheetId="2" r:id="rId2"/>
    <sheet name="Inputs" sheetId="3" r:id="rId3"/>
    <sheet name="Output" sheetId="4" r:id="rId4"/>
  </sheets>
  <definedNames>
    <definedName name="_xlnm.Print_Area" localSheetId="1">'Explanation of Input Fields'!$A$1:$O$88</definedName>
    <definedName name="_xlnm.Print_Area" localSheetId="2">'Inputs'!$A$1:$M$42</definedName>
  </definedNames>
  <calcPr fullCalcOnLoad="1"/>
</workbook>
</file>

<file path=xl/sharedStrings.xml><?xml version="1.0" encoding="utf-8"?>
<sst xmlns="http://schemas.openxmlformats.org/spreadsheetml/2006/main" count="215" uniqueCount="90">
  <si>
    <t>Comparables</t>
  </si>
  <si>
    <t>LT Debt</t>
  </si>
  <si>
    <t>Tax Rate</t>
  </si>
  <si>
    <t>Implied Equity Risk Premium:</t>
  </si>
  <si>
    <t>1-Year</t>
  </si>
  <si>
    <t>2-Year</t>
  </si>
  <si>
    <t>3-Year</t>
  </si>
  <si>
    <t>4-Year</t>
  </si>
  <si>
    <t>5-Year</t>
  </si>
  <si>
    <t>Industry Average:</t>
  </si>
  <si>
    <t>30-Year</t>
  </si>
  <si>
    <t>Rates</t>
  </si>
  <si>
    <t>15-Years</t>
  </si>
  <si>
    <t>14-Years</t>
  </si>
  <si>
    <t>13-Years</t>
  </si>
  <si>
    <t>12-Years</t>
  </si>
  <si>
    <t>11-Years</t>
  </si>
  <si>
    <t>10-Years</t>
  </si>
  <si>
    <t>9-Years</t>
  </si>
  <si>
    <t>8-Years</t>
  </si>
  <si>
    <t>7-Years</t>
  </si>
  <si>
    <t>6-Years</t>
  </si>
  <si>
    <t>5-Years</t>
  </si>
  <si>
    <t>4-Years</t>
  </si>
  <si>
    <t>3-Years</t>
  </si>
  <si>
    <t>2-Years</t>
  </si>
  <si>
    <t>Total Value</t>
  </si>
  <si>
    <t>Discounted Terminal Values</t>
  </si>
  <si>
    <t>Terminal Values</t>
  </si>
  <si>
    <t>Discounted Cash Flows</t>
  </si>
  <si>
    <t>Cash Flows</t>
  </si>
  <si>
    <t>15-Year</t>
  </si>
  <si>
    <t>14-Year</t>
  </si>
  <si>
    <t>13-Year</t>
  </si>
  <si>
    <t>12-Year</t>
  </si>
  <si>
    <t>11-Year</t>
  </si>
  <si>
    <t>10-Year</t>
  </si>
  <si>
    <t>9-Year</t>
  </si>
  <si>
    <t>8-Year</t>
  </si>
  <si>
    <t>7-Year</t>
  </si>
  <si>
    <t>6-Year</t>
  </si>
  <si>
    <t>Short-Term Growth Duration</t>
  </si>
  <si>
    <t xml:space="preserve">Additional Unique Risk: </t>
  </si>
  <si>
    <t>Most Recent Quarter-End Cash and Liquid Securities</t>
  </si>
  <si>
    <t>Expected Tax Rate Assumption</t>
  </si>
  <si>
    <t>Shares Outstanding Most Recent Quarter-End</t>
  </si>
  <si>
    <t>Short-Term Compounded Growth Rate</t>
  </si>
  <si>
    <t>The Large-Cap Portfolio: Value Investing and the Hidden Opportunity in Big Company Stocks, +Website</t>
  </si>
  <si>
    <t>By Thomas Villalta, CFA</t>
  </si>
  <si>
    <t>General Model Inputs</t>
  </si>
  <si>
    <t>Calculation of Discount Rates</t>
  </si>
  <si>
    <t>Discount</t>
  </si>
  <si>
    <t>Company Name</t>
  </si>
  <si>
    <t>Long-Term Growth Rate (Limited to GNP)</t>
  </si>
  <si>
    <t>Compounded Short-Term, Abnormal Growth Rate</t>
  </si>
  <si>
    <t>US Treasury</t>
  </si>
  <si>
    <r>
      <rPr>
        <b/>
        <sz val="10"/>
        <rFont val="Symbol"/>
        <family val="1"/>
      </rPr>
      <t>b</t>
    </r>
    <r>
      <rPr>
        <b/>
        <vertAlign val="subscript"/>
        <sz val="9"/>
        <rFont val="Arial"/>
        <family val="2"/>
      </rPr>
      <t>L</t>
    </r>
  </si>
  <si>
    <t>Capitalization</t>
  </si>
  <si>
    <r>
      <rPr>
        <b/>
        <sz val="11"/>
        <color indexed="23"/>
        <rFont val="Symbol"/>
        <family val="1"/>
      </rPr>
      <t>b</t>
    </r>
    <r>
      <rPr>
        <b/>
        <vertAlign val="subscript"/>
        <sz val="9"/>
        <color indexed="23"/>
        <rFont val="Arial"/>
        <family val="2"/>
      </rPr>
      <t>UL</t>
    </r>
  </si>
  <si>
    <t>From the most recent financial statements.</t>
  </si>
  <si>
    <t>This is a baseline starting point, upon which other short-term rates are calculated for the matrix.</t>
  </si>
  <si>
    <t>Comparable Company 1</t>
  </si>
  <si>
    <t>Market</t>
  </si>
  <si>
    <t>Comparable Company 2</t>
  </si>
  <si>
    <t>Comparable Company 3</t>
  </si>
  <si>
    <t>Comparable Company 4</t>
  </si>
  <si>
    <t>Comparable Company 5</t>
  </si>
  <si>
    <t>This may be an average of prior years, it may be an industry average, it may be the most recent rate, or it may be a different expectation.</t>
  </si>
  <si>
    <t>From most recent quarter-end balance sheet.</t>
  </si>
  <si>
    <t>This may be an expectation for the coming year, or it may be a normalized view that's altered to account for the operating environment.</t>
  </si>
  <si>
    <r>
      <rPr>
        <b/>
        <sz val="9"/>
        <rFont val="Symbol"/>
        <family val="1"/>
      </rPr>
      <t>b</t>
    </r>
    <r>
      <rPr>
        <b/>
        <vertAlign val="subscript"/>
        <sz val="9"/>
        <rFont val="Arial Narrow"/>
        <family val="2"/>
      </rPr>
      <t>L</t>
    </r>
  </si>
  <si>
    <r>
      <rPr>
        <b/>
        <sz val="9"/>
        <color indexed="23"/>
        <rFont val="Symbol"/>
        <family val="1"/>
      </rPr>
      <t>b</t>
    </r>
    <r>
      <rPr>
        <b/>
        <vertAlign val="subscript"/>
        <sz val="9"/>
        <color indexed="23"/>
        <rFont val="Arial Narrow"/>
        <family val="2"/>
      </rPr>
      <t>UL</t>
    </r>
  </si>
  <si>
    <t xml:space="preserve">The name of the company. </t>
  </si>
  <si>
    <t>Market Capitalization</t>
  </si>
  <si>
    <t>Long-Term Debt</t>
  </si>
  <si>
    <r>
      <t>Re-Levered Beta (</t>
    </r>
    <r>
      <rPr>
        <b/>
        <sz val="9"/>
        <color indexed="23"/>
        <rFont val="Symbol"/>
        <family val="1"/>
      </rPr>
      <t>b</t>
    </r>
    <r>
      <rPr>
        <b/>
        <vertAlign val="subscript"/>
        <sz val="9"/>
        <color indexed="23"/>
        <rFont val="Arial"/>
        <family val="2"/>
      </rPr>
      <t>L</t>
    </r>
    <r>
      <rPr>
        <b/>
        <sz val="9"/>
        <color indexed="23"/>
        <rFont val="Arial"/>
        <family val="2"/>
      </rPr>
      <t>):</t>
    </r>
  </si>
  <si>
    <t>Starting Free Cash Flow to Equity Holders</t>
  </si>
  <si>
    <t>Recent share price multiplied by shares outstanding.</t>
  </si>
  <si>
    <r>
      <t>Re-Levered Beta (</t>
    </r>
    <r>
      <rPr>
        <b/>
        <sz val="9"/>
        <color indexed="23"/>
        <rFont val="Symbol"/>
        <family val="1"/>
      </rPr>
      <t>b</t>
    </r>
    <r>
      <rPr>
        <b/>
        <vertAlign val="subscript"/>
        <sz val="9"/>
        <color indexed="23"/>
        <rFont val="Arial Narrow"/>
        <family val="2"/>
      </rPr>
      <t>L</t>
    </r>
    <r>
      <rPr>
        <b/>
        <sz val="9"/>
        <color indexed="23"/>
        <rFont val="Arial Narrow"/>
        <family val="2"/>
      </rPr>
      <t>):</t>
    </r>
  </si>
  <si>
    <r>
      <t>Calculation of Equity Beta (</t>
    </r>
    <r>
      <rPr>
        <b/>
        <sz val="14"/>
        <color indexed="9"/>
        <rFont val="Symbol"/>
        <family val="1"/>
      </rPr>
      <t>b</t>
    </r>
    <r>
      <rPr>
        <b/>
        <vertAlign val="subscript"/>
        <sz val="12"/>
        <color indexed="9"/>
        <rFont val="Arial"/>
        <family val="2"/>
      </rPr>
      <t>L</t>
    </r>
    <r>
      <rPr>
        <b/>
        <sz val="12"/>
        <color indexed="9"/>
        <rFont val="Arial"/>
        <family val="2"/>
      </rPr>
      <t>)</t>
    </r>
  </si>
  <si>
    <t>Instructions: Free Cash Flow to Equity (FCFE) Model</t>
  </si>
  <si>
    <t>Explanation of Input Fields: Free Cash Flow to Equity (FCFE) Model</t>
  </si>
  <si>
    <t>Inputs: Free Cash Flow to Equity (FCFE) Model</t>
  </si>
  <si>
    <t>Output: Free Cash Flow to Equity (FCFE) Model Sensitivity Analysis - Short-Term Growth Rates &amp; Short-Term Growth Duration</t>
  </si>
  <si>
    <t>Hewlett Packard Company</t>
  </si>
  <si>
    <t>International Business Machines</t>
  </si>
  <si>
    <t>Oracle Corporation</t>
  </si>
  <si>
    <t>EMC Corp.</t>
  </si>
  <si>
    <t>Dell Inc.</t>
  </si>
  <si>
    <t xml:space="preserve">This rate should be limited to a weighted average of the long-term GNP growth rates for the firm's geographic sales areas.  </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</si>
</sst>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
    <numFmt numFmtId="167" formatCode="0.00000"/>
    <numFmt numFmtId="168" formatCode="0.0000"/>
    <numFmt numFmtId="169" formatCode="0.0"/>
    <numFmt numFmtId="170" formatCode="mmmm\ d\,\ yyyy"/>
    <numFmt numFmtId="171" formatCode="mmmm\-yy"/>
    <numFmt numFmtId="172" formatCode="0.0%"/>
    <numFmt numFmtId="173" formatCode="_(* #,##0.0_);_(* \(#,##0.0\);_(* &quot;-&quot;??_);_(@_)"/>
    <numFmt numFmtId="174" formatCode="_(* #,##0_);_(* \(#,##0\);_(* &quot;-&quot;??_);_(@_)"/>
    <numFmt numFmtId="175" formatCode="#,##0.0"/>
    <numFmt numFmtId="176" formatCode="&quot;$&quot;#,##0.0"/>
    <numFmt numFmtId="177" formatCode="&quot;$&quot;#,##0.00"/>
    <numFmt numFmtId="178" formatCode="&quot;$&quot;#,##0.000"/>
    <numFmt numFmtId="179" formatCode="&quot;$&quot;#,##0"/>
    <numFmt numFmtId="180" formatCode="&quot;$&quot;#,##0.0_);[Red]\(&quot;$&quot;#,##0.0\)"/>
    <numFmt numFmtId="181" formatCode="[$-409]h:mm:ss\ AM/PM"/>
    <numFmt numFmtId="182" formatCode="[$-409]dddd\,\ mmmm\ dd\,\ yyyy"/>
    <numFmt numFmtId="183" formatCode="[$-409]mmmm\ d\,\ yyyy;@"/>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
    <numFmt numFmtId="190" formatCode="0.0000000000000000%"/>
    <numFmt numFmtId="191" formatCode="#,##0.0_);\(#,##0.0\)"/>
    <numFmt numFmtId="192" formatCode="&quot;$&quot;#,##0.0_);\(&quot;$&quot;#,##0.0\)"/>
    <numFmt numFmtId="193" formatCode="#,##0.0_);[Red]\(#,##0.0\)"/>
    <numFmt numFmtId="194" formatCode="_(* #,##0.000_);_(* \(#,##0.000\);_(* &quot;-&quot;???_);_(@_)"/>
    <numFmt numFmtId="195" formatCode="_(* #,##0.000_);_(* \(#,##0.000\);_(* &quot;-&quot;??_);_(@_)"/>
    <numFmt numFmtId="196" formatCode="_(* #,##0.0_);_(* \(#,##0.0\);_(* &quot;-&quot;?_);_(@_)"/>
    <numFmt numFmtId="197" formatCode="\$#,##0"/>
    <numFmt numFmtId="198" formatCode="#,##0.0000"/>
    <numFmt numFmtId="199" formatCode="#,##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mmm\ dd\,\ yyyy"/>
    <numFmt numFmtId="208" formatCode="_-* #,##0.00_-;\-* #,##0.00_-;_-* &quot;-&quot;??_-;_-@_-"/>
  </numFmts>
  <fonts count="90">
    <font>
      <sz val="10"/>
      <name val="Arial"/>
      <family val="0"/>
    </font>
    <font>
      <u val="single"/>
      <sz val="10"/>
      <color indexed="12"/>
      <name val="Arial"/>
      <family val="2"/>
    </font>
    <font>
      <u val="single"/>
      <sz val="10"/>
      <color indexed="36"/>
      <name val="Arial"/>
      <family val="2"/>
    </font>
    <font>
      <sz val="9"/>
      <name val="Arial"/>
      <family val="2"/>
    </font>
    <font>
      <sz val="8"/>
      <name val="Arial"/>
      <family val="2"/>
    </font>
    <font>
      <b/>
      <sz val="9"/>
      <name val="Arial"/>
      <family val="2"/>
    </font>
    <font>
      <b/>
      <sz val="8"/>
      <name val="Arial"/>
      <family val="2"/>
    </font>
    <font>
      <b/>
      <i/>
      <sz val="9"/>
      <name val="Arial"/>
      <family val="2"/>
    </font>
    <font>
      <b/>
      <sz val="7"/>
      <name val="Arial"/>
      <family val="2"/>
    </font>
    <font>
      <i/>
      <sz val="9"/>
      <name val="Arial"/>
      <family val="2"/>
    </font>
    <font>
      <b/>
      <sz val="10"/>
      <name val="Arial"/>
      <family val="2"/>
    </font>
    <font>
      <b/>
      <sz val="11"/>
      <name val="Arial Narrow"/>
      <family val="2"/>
    </font>
    <font>
      <b/>
      <sz val="9"/>
      <name val="Arial Narrow"/>
      <family val="2"/>
    </font>
    <font>
      <b/>
      <sz val="12"/>
      <color indexed="9"/>
      <name val="Arial"/>
      <family val="2"/>
    </font>
    <font>
      <b/>
      <sz val="14"/>
      <color indexed="9"/>
      <name val="Symbol"/>
      <family val="1"/>
    </font>
    <font>
      <b/>
      <vertAlign val="subscript"/>
      <sz val="12"/>
      <color indexed="9"/>
      <name val="Arial"/>
      <family val="2"/>
    </font>
    <font>
      <b/>
      <vertAlign val="subscript"/>
      <sz val="9"/>
      <name val="Arial"/>
      <family val="2"/>
    </font>
    <font>
      <b/>
      <sz val="10"/>
      <name val="Symbol"/>
      <family val="1"/>
    </font>
    <font>
      <b/>
      <sz val="11"/>
      <color indexed="23"/>
      <name val="Symbol"/>
      <family val="1"/>
    </font>
    <font>
      <b/>
      <vertAlign val="subscript"/>
      <sz val="9"/>
      <color indexed="23"/>
      <name val="Arial"/>
      <family val="2"/>
    </font>
    <font>
      <sz val="9"/>
      <name val="Arial Narrow"/>
      <family val="2"/>
    </font>
    <font>
      <b/>
      <vertAlign val="subscript"/>
      <sz val="9"/>
      <name val="Arial Narrow"/>
      <family val="2"/>
    </font>
    <font>
      <b/>
      <vertAlign val="subscript"/>
      <sz val="9"/>
      <color indexed="23"/>
      <name val="Arial Narrow"/>
      <family val="2"/>
    </font>
    <font>
      <b/>
      <sz val="9"/>
      <name val="Symbol"/>
      <family val="1"/>
    </font>
    <font>
      <b/>
      <sz val="9"/>
      <color indexed="23"/>
      <name val="Symbol"/>
      <family val="1"/>
    </font>
    <font>
      <b/>
      <sz val="9"/>
      <color indexed="23"/>
      <name val="Arial"/>
      <family val="2"/>
    </font>
    <font>
      <b/>
      <sz val="9"/>
      <color indexed="23"/>
      <name val="Arial Narrow"/>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53"/>
      <name val="Arial"/>
      <family val="2"/>
    </font>
    <font>
      <b/>
      <sz val="9"/>
      <color indexed="9"/>
      <name val="Arial"/>
      <family val="2"/>
    </font>
    <font>
      <sz val="9"/>
      <color indexed="9"/>
      <name val="Arial"/>
      <family val="2"/>
    </font>
    <font>
      <sz val="9"/>
      <color indexed="23"/>
      <name val="Arial"/>
      <family val="2"/>
    </font>
    <font>
      <b/>
      <i/>
      <sz val="9"/>
      <color indexed="23"/>
      <name val="Arial"/>
      <family val="2"/>
    </font>
    <font>
      <b/>
      <sz val="8"/>
      <color indexed="23"/>
      <name val="Arial"/>
      <family val="2"/>
    </font>
    <font>
      <sz val="9"/>
      <color indexed="8"/>
      <name val="Arial"/>
      <family val="2"/>
    </font>
    <font>
      <b/>
      <sz val="9"/>
      <color indexed="8"/>
      <name val="Arial"/>
      <family val="2"/>
    </font>
    <font>
      <b/>
      <sz val="11"/>
      <color indexed="9"/>
      <name val="Arial Narrow"/>
      <family val="2"/>
    </font>
    <font>
      <b/>
      <sz val="10"/>
      <color indexed="9"/>
      <name val="Arial Narrow"/>
      <family val="2"/>
    </font>
    <font>
      <b/>
      <sz val="12"/>
      <color indexed="63"/>
      <name val="Arial"/>
      <family val="2"/>
    </font>
    <font>
      <sz val="10.5"/>
      <color indexed="8"/>
      <name val="Symbol"/>
      <family val="0"/>
    </font>
    <font>
      <vertAlign val="subscript"/>
      <sz val="10.5"/>
      <color indexed="8"/>
      <name val="Arial"/>
      <family val="0"/>
    </font>
    <font>
      <vertAlign val="subscript"/>
      <sz val="9"/>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4"/>
      <color theme="9" tint="-0.24997000396251678"/>
      <name val="Arial"/>
      <family val="2"/>
    </font>
    <font>
      <b/>
      <sz val="9"/>
      <color theme="0"/>
      <name val="Arial"/>
      <family val="2"/>
    </font>
    <font>
      <b/>
      <sz val="12"/>
      <color theme="0"/>
      <name val="Arial"/>
      <family val="2"/>
    </font>
    <font>
      <sz val="9"/>
      <color theme="0"/>
      <name val="Arial"/>
      <family val="2"/>
    </font>
    <font>
      <sz val="9"/>
      <color theme="1" tint="0.49998000264167786"/>
      <name val="Arial"/>
      <family val="2"/>
    </font>
    <font>
      <b/>
      <sz val="9"/>
      <color theme="1" tint="0.49998000264167786"/>
      <name val="Arial"/>
      <family val="2"/>
    </font>
    <font>
      <b/>
      <i/>
      <sz val="9"/>
      <color theme="1" tint="0.49998000264167786"/>
      <name val="Arial"/>
      <family val="2"/>
    </font>
    <font>
      <b/>
      <sz val="8"/>
      <color theme="1" tint="0.49998000264167786"/>
      <name val="Arial"/>
      <family val="2"/>
    </font>
    <font>
      <b/>
      <sz val="9"/>
      <color theme="1" tint="0.49998000264167786"/>
      <name val="Arial Narrow"/>
      <family val="2"/>
    </font>
    <font>
      <b/>
      <sz val="9"/>
      <color theme="0" tint="-0.4999699890613556"/>
      <name val="Arial"/>
      <family val="2"/>
    </font>
    <font>
      <sz val="9"/>
      <color theme="1"/>
      <name val="Arial"/>
      <family val="2"/>
    </font>
    <font>
      <b/>
      <sz val="9"/>
      <color theme="1"/>
      <name val="Arial"/>
      <family val="2"/>
    </font>
    <font>
      <b/>
      <sz val="11"/>
      <color theme="0"/>
      <name val="Arial Narrow"/>
      <family val="2"/>
    </font>
    <font>
      <b/>
      <sz val="10"/>
      <color theme="0"/>
      <name val="Arial Narrow"/>
      <family val="2"/>
    </font>
    <font>
      <b/>
      <sz val="12"/>
      <color theme="1" tint="0.3499900102615356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color theme="1" tint="0.49998000264167786"/>
      </top>
      <bottom style="medium">
        <color theme="1" tint="0.49998000264167786"/>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2">
    <xf numFmtId="0" fontId="0" fillId="0" borderId="0" xfId="0" applyAlignment="1">
      <alignment/>
    </xf>
    <xf numFmtId="0" fontId="3" fillId="0" borderId="0" xfId="0" applyFont="1" applyAlignment="1">
      <alignment/>
    </xf>
    <xf numFmtId="3" fontId="3" fillId="0" borderId="0" xfId="0" applyNumberFormat="1" applyFont="1" applyAlignment="1">
      <alignment/>
    </xf>
    <xf numFmtId="208" fontId="3" fillId="0" borderId="0" xfId="44" applyFont="1" applyAlignment="1">
      <alignment/>
    </xf>
    <xf numFmtId="3" fontId="3" fillId="0" borderId="0" xfId="44" applyNumberFormat="1" applyFont="1" applyAlignment="1">
      <alignment/>
    </xf>
    <xf numFmtId="10" fontId="3" fillId="0" borderId="0" xfId="0" applyNumberFormat="1" applyFont="1" applyAlignment="1">
      <alignment/>
    </xf>
    <xf numFmtId="0" fontId="3" fillId="0" borderId="0" xfId="0" applyFont="1" applyBorder="1" applyAlignment="1">
      <alignment/>
    </xf>
    <xf numFmtId="3" fontId="3" fillId="0" borderId="0" xfId="0" applyNumberFormat="1" applyFont="1" applyBorder="1" applyAlignment="1">
      <alignment/>
    </xf>
    <xf numFmtId="169" fontId="3" fillId="0" borderId="0" xfId="0" applyNumberFormat="1" applyFont="1" applyBorder="1" applyAlignment="1">
      <alignment/>
    </xf>
    <xf numFmtId="10" fontId="3" fillId="0" borderId="0" xfId="61" applyNumberFormat="1" applyFont="1" applyBorder="1" applyAlignment="1">
      <alignment/>
    </xf>
    <xf numFmtId="0" fontId="7" fillId="0" borderId="0" xfId="0" applyFont="1" applyBorder="1" applyAlignment="1">
      <alignment/>
    </xf>
    <xf numFmtId="0" fontId="3" fillId="0" borderId="0" xfId="0" applyFont="1" applyFill="1" applyBorder="1" applyAlignment="1">
      <alignment/>
    </xf>
    <xf numFmtId="0" fontId="5" fillId="0" borderId="0" xfId="0" applyFont="1" applyBorder="1" applyAlignment="1">
      <alignment/>
    </xf>
    <xf numFmtId="2" fontId="11" fillId="33" borderId="0" xfId="0" applyNumberFormat="1" applyFont="1" applyFill="1" applyBorder="1" applyAlignment="1">
      <alignment horizontal="center" vertical="center"/>
    </xf>
    <xf numFmtId="2" fontId="11" fillId="34" borderId="0" xfId="0" applyNumberFormat="1" applyFont="1" applyFill="1" applyBorder="1" applyAlignment="1">
      <alignment horizontal="center" vertical="center"/>
    </xf>
    <xf numFmtId="0" fontId="10" fillId="33" borderId="0" xfId="0" applyFont="1" applyFill="1" applyBorder="1" applyAlignment="1">
      <alignment horizontal="center"/>
    </xf>
    <xf numFmtId="0" fontId="10" fillId="33" borderId="0" xfId="0" applyFont="1" applyFill="1" applyBorder="1" applyAlignment="1">
      <alignment/>
    </xf>
    <xf numFmtId="0" fontId="10" fillId="34" borderId="0" xfId="0" applyFont="1" applyFill="1" applyBorder="1" applyAlignment="1">
      <alignment/>
    </xf>
    <xf numFmtId="2" fontId="11" fillId="34" borderId="10" xfId="0" applyNumberFormat="1" applyFont="1" applyFill="1" applyBorder="1" applyAlignment="1">
      <alignment horizontal="center" vertical="center"/>
    </xf>
    <xf numFmtId="2" fontId="11" fillId="33" borderId="10" xfId="0" applyNumberFormat="1" applyFont="1" applyFill="1" applyBorder="1" applyAlignment="1">
      <alignment horizontal="center" vertical="center"/>
    </xf>
    <xf numFmtId="0" fontId="0" fillId="33" borderId="0" xfId="0" applyFill="1" applyAlignment="1">
      <alignment/>
    </xf>
    <xf numFmtId="10" fontId="11" fillId="33" borderId="10" xfId="61" applyNumberFormat="1" applyFont="1" applyFill="1" applyBorder="1" applyAlignment="1">
      <alignment/>
    </xf>
    <xf numFmtId="10" fontId="11" fillId="33" borderId="0" xfId="61" applyNumberFormat="1" applyFont="1" applyFill="1" applyBorder="1" applyAlignment="1">
      <alignment/>
    </xf>
    <xf numFmtId="0" fontId="0" fillId="35" borderId="0" xfId="0" applyFill="1" applyAlignment="1">
      <alignment/>
    </xf>
    <xf numFmtId="0" fontId="10" fillId="35" borderId="0" xfId="0" applyFont="1" applyFill="1" applyBorder="1" applyAlignment="1">
      <alignment horizontal="center"/>
    </xf>
    <xf numFmtId="0" fontId="0" fillId="33" borderId="0" xfId="0" applyFont="1" applyFill="1" applyAlignment="1">
      <alignment/>
    </xf>
    <xf numFmtId="0" fontId="75" fillId="33" borderId="0" xfId="0" applyFont="1" applyFill="1" applyAlignment="1">
      <alignment/>
    </xf>
    <xf numFmtId="0" fontId="5" fillId="33" borderId="0" xfId="0" applyFont="1" applyFill="1" applyBorder="1" applyAlignment="1">
      <alignment/>
    </xf>
    <xf numFmtId="10" fontId="8" fillId="0" borderId="0" xfId="61" applyNumberFormat="1" applyFont="1" applyFill="1" applyBorder="1" applyAlignment="1">
      <alignment/>
    </xf>
    <xf numFmtId="2" fontId="76"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0" fontId="5" fillId="13" borderId="11" xfId="60" applyNumberFormat="1" applyFont="1" applyFill="1" applyBorder="1" applyAlignment="1">
      <alignment/>
    </xf>
    <xf numFmtId="10" fontId="5" fillId="13" borderId="11" xfId="0" applyNumberFormat="1" applyFont="1" applyFill="1" applyBorder="1" applyAlignment="1">
      <alignment/>
    </xf>
    <xf numFmtId="0" fontId="77" fillId="35" borderId="0" xfId="0" applyFont="1" applyFill="1" applyAlignment="1">
      <alignment/>
    </xf>
    <xf numFmtId="0" fontId="78" fillId="35" borderId="0" xfId="0" applyFont="1" applyFill="1" applyAlignment="1">
      <alignment/>
    </xf>
    <xf numFmtId="0" fontId="78" fillId="33" borderId="0" xfId="0" applyFont="1" applyFill="1" applyAlignment="1">
      <alignment/>
    </xf>
    <xf numFmtId="0" fontId="3" fillId="33" borderId="0" xfId="0" applyFont="1" applyFill="1" applyBorder="1" applyAlignment="1">
      <alignment/>
    </xf>
    <xf numFmtId="2" fontId="9" fillId="33" borderId="0" xfId="0" applyNumberFormat="1" applyFont="1" applyFill="1" applyBorder="1" applyAlignment="1">
      <alignment horizontal="left"/>
    </xf>
    <xf numFmtId="0" fontId="3" fillId="33" borderId="0" xfId="0" applyFont="1" applyFill="1" applyAlignment="1">
      <alignment/>
    </xf>
    <xf numFmtId="10" fontId="3" fillId="33" borderId="0" xfId="61" applyNumberFormat="1" applyFont="1" applyFill="1" applyBorder="1" applyAlignment="1">
      <alignment/>
    </xf>
    <xf numFmtId="0" fontId="7" fillId="33" borderId="0" xfId="0" applyFont="1" applyFill="1" applyBorder="1" applyAlignment="1">
      <alignment/>
    </xf>
    <xf numFmtId="0" fontId="3" fillId="33" borderId="11" xfId="0" applyFont="1" applyFill="1" applyBorder="1" applyAlignment="1">
      <alignment/>
    </xf>
    <xf numFmtId="0" fontId="78" fillId="33" borderId="0" xfId="0" applyFont="1" applyFill="1" applyBorder="1" applyAlignment="1">
      <alignment/>
    </xf>
    <xf numFmtId="0" fontId="3" fillId="33" borderId="0" xfId="0" applyFont="1" applyFill="1" applyBorder="1" applyAlignment="1">
      <alignment horizontal="right"/>
    </xf>
    <xf numFmtId="169" fontId="3" fillId="33" borderId="0" xfId="0" applyNumberFormat="1" applyFont="1" applyFill="1" applyBorder="1" applyAlignment="1">
      <alignment/>
    </xf>
    <xf numFmtId="3" fontId="3" fillId="33" borderId="0" xfId="0" applyNumberFormat="1" applyFont="1" applyFill="1" applyBorder="1" applyAlignment="1">
      <alignment/>
    </xf>
    <xf numFmtId="0" fontId="5" fillId="33" borderId="0" xfId="0" applyFont="1" applyFill="1" applyBorder="1" applyAlignment="1">
      <alignment horizontal="center"/>
    </xf>
    <xf numFmtId="10" fontId="6" fillId="13" borderId="11" xfId="0" applyNumberFormat="1" applyFont="1" applyFill="1" applyBorder="1" applyAlignment="1">
      <alignment/>
    </xf>
    <xf numFmtId="2" fontId="4" fillId="33" borderId="0" xfId="0" applyNumberFormat="1" applyFont="1" applyFill="1" applyBorder="1" applyAlignment="1">
      <alignment horizontal="center"/>
    </xf>
    <xf numFmtId="2" fontId="6" fillId="33" borderId="0" xfId="0" applyNumberFormat="1" applyFont="1" applyFill="1" applyBorder="1" applyAlignment="1">
      <alignment horizontal="center"/>
    </xf>
    <xf numFmtId="10" fontId="3" fillId="33" borderId="0" xfId="61" applyNumberFormat="1" applyFont="1" applyFill="1" applyAlignment="1">
      <alignment/>
    </xf>
    <xf numFmtId="2" fontId="5" fillId="33" borderId="0" xfId="0" applyNumberFormat="1" applyFont="1" applyFill="1" applyBorder="1" applyAlignment="1">
      <alignment horizontal="center" vertical="center"/>
    </xf>
    <xf numFmtId="2" fontId="76" fillId="33" borderId="0" xfId="0" applyNumberFormat="1" applyFont="1" applyFill="1" applyBorder="1" applyAlignment="1">
      <alignment horizontal="center" vertical="center"/>
    </xf>
    <xf numFmtId="0" fontId="5" fillId="33" borderId="11" xfId="0" applyFont="1" applyFill="1" applyBorder="1" applyAlignment="1">
      <alignment/>
    </xf>
    <xf numFmtId="0" fontId="79" fillId="33" borderId="11" xfId="0" applyFont="1" applyFill="1" applyBorder="1" applyAlignment="1">
      <alignment/>
    </xf>
    <xf numFmtId="0" fontId="80" fillId="33" borderId="11" xfId="0" applyFont="1" applyFill="1" applyBorder="1" applyAlignment="1">
      <alignment/>
    </xf>
    <xf numFmtId="0" fontId="4" fillId="33" borderId="0" xfId="0" applyFont="1" applyFill="1" applyAlignment="1">
      <alignment/>
    </xf>
    <xf numFmtId="10" fontId="8" fillId="33" borderId="0" xfId="61" applyNumberFormat="1" applyFont="1" applyFill="1" applyBorder="1" applyAlignment="1">
      <alignment/>
    </xf>
    <xf numFmtId="0" fontId="80" fillId="0" borderId="0" xfId="0" applyFont="1" applyFill="1" applyAlignment="1">
      <alignment/>
    </xf>
    <xf numFmtId="44" fontId="5" fillId="13" borderId="11" xfId="45" applyFont="1" applyFill="1" applyBorder="1" applyAlignment="1">
      <alignment/>
    </xf>
    <xf numFmtId="4" fontId="5" fillId="13" borderId="11" xfId="0" applyNumberFormat="1" applyFont="1" applyFill="1" applyBorder="1" applyAlignment="1">
      <alignment/>
    </xf>
    <xf numFmtId="0" fontId="81" fillId="33" borderId="0" xfId="0" applyFont="1" applyFill="1" applyBorder="1" applyAlignment="1">
      <alignment/>
    </xf>
    <xf numFmtId="0" fontId="80" fillId="33" borderId="0" xfId="0" applyFont="1" applyFill="1" applyAlignment="1">
      <alignment horizontal="center"/>
    </xf>
    <xf numFmtId="0" fontId="80" fillId="33" borderId="0" xfId="0" applyFont="1" applyFill="1" applyAlignment="1">
      <alignment/>
    </xf>
    <xf numFmtId="2" fontId="81" fillId="33" borderId="0" xfId="0" applyNumberFormat="1" applyFont="1" applyFill="1" applyBorder="1" applyAlignment="1">
      <alignment horizontal="left"/>
    </xf>
    <xf numFmtId="0" fontId="80" fillId="33" borderId="0" xfId="0" applyFont="1" applyFill="1" applyBorder="1" applyAlignment="1">
      <alignment/>
    </xf>
    <xf numFmtId="10" fontId="80" fillId="33" borderId="0" xfId="61" applyNumberFormat="1" applyFont="1" applyFill="1" applyBorder="1" applyAlignment="1">
      <alignment/>
    </xf>
    <xf numFmtId="0" fontId="80" fillId="33" borderId="0" xfId="0" applyFont="1" applyFill="1" applyBorder="1" applyAlignment="1">
      <alignment horizontal="center"/>
    </xf>
    <xf numFmtId="2" fontId="80" fillId="33" borderId="11" xfId="0" applyNumberFormat="1" applyFont="1" applyFill="1" applyBorder="1" applyAlignment="1">
      <alignment horizontal="center"/>
    </xf>
    <xf numFmtId="2" fontId="80" fillId="33" borderId="11" xfId="0" applyNumberFormat="1" applyFont="1" applyFill="1" applyBorder="1" applyAlignment="1">
      <alignment horizontal="right"/>
    </xf>
    <xf numFmtId="4" fontId="80" fillId="33" borderId="11" xfId="0" applyNumberFormat="1" applyFont="1" applyFill="1" applyBorder="1" applyAlignment="1">
      <alignment horizontal="right"/>
    </xf>
    <xf numFmtId="10" fontId="80" fillId="33" borderId="11" xfId="60" applyNumberFormat="1" applyFont="1" applyFill="1" applyBorder="1" applyAlignment="1">
      <alignment horizontal="center"/>
    </xf>
    <xf numFmtId="10" fontId="80" fillId="33" borderId="11" xfId="0" applyNumberFormat="1" applyFont="1" applyFill="1" applyBorder="1" applyAlignment="1">
      <alignment horizontal="center"/>
    </xf>
    <xf numFmtId="4" fontId="5" fillId="13" borderId="11" xfId="60" applyNumberFormat="1" applyFont="1" applyFill="1" applyBorder="1" applyAlignment="1">
      <alignment horizontal="left"/>
    </xf>
    <xf numFmtId="0" fontId="0" fillId="13" borderId="0" xfId="0" applyFill="1" applyAlignment="1">
      <alignment/>
    </xf>
    <xf numFmtId="0" fontId="5" fillId="33" borderId="0" xfId="0" applyFont="1" applyFill="1" applyAlignment="1">
      <alignment horizontal="center"/>
    </xf>
    <xf numFmtId="0" fontId="4" fillId="33" borderId="11" xfId="0" applyFont="1" applyFill="1" applyBorder="1" applyAlignment="1">
      <alignment/>
    </xf>
    <xf numFmtId="0" fontId="4" fillId="13" borderId="0" xfId="0" applyFont="1" applyFill="1" applyAlignment="1">
      <alignment/>
    </xf>
    <xf numFmtId="44" fontId="6" fillId="13" borderId="11" xfId="45" applyFont="1" applyFill="1" applyBorder="1" applyAlignment="1">
      <alignment/>
    </xf>
    <xf numFmtId="10" fontId="6" fillId="13" borderId="11" xfId="60" applyNumberFormat="1" applyFont="1" applyFill="1" applyBorder="1" applyAlignment="1">
      <alignment/>
    </xf>
    <xf numFmtId="4" fontId="6" fillId="13" borderId="11" xfId="60" applyNumberFormat="1" applyFont="1" applyFill="1" applyBorder="1" applyAlignment="1">
      <alignment horizontal="left"/>
    </xf>
    <xf numFmtId="4" fontId="6" fillId="13" borderId="11" xfId="0" applyNumberFormat="1" applyFont="1" applyFill="1" applyBorder="1" applyAlignment="1">
      <alignment/>
    </xf>
    <xf numFmtId="10" fontId="4" fillId="13" borderId="11" xfId="60" applyNumberFormat="1" applyFont="1" applyFill="1" applyBorder="1" applyAlignment="1">
      <alignment horizontal="center"/>
    </xf>
    <xf numFmtId="0" fontId="4" fillId="13" borderId="0" xfId="0" applyFont="1" applyFill="1" applyAlignment="1">
      <alignment horizontal="center"/>
    </xf>
    <xf numFmtId="0" fontId="82" fillId="33" borderId="0" xfId="0" applyFont="1" applyFill="1" applyAlignment="1">
      <alignment horizontal="center"/>
    </xf>
    <xf numFmtId="10" fontId="82" fillId="33" borderId="11" xfId="0" applyNumberFormat="1" applyFont="1" applyFill="1" applyBorder="1" applyAlignment="1">
      <alignment horizontal="center"/>
    </xf>
    <xf numFmtId="0" fontId="12" fillId="13" borderId="11" xfId="0" applyFont="1" applyFill="1" applyBorder="1" applyAlignment="1">
      <alignment/>
    </xf>
    <xf numFmtId="10" fontId="12" fillId="13" borderId="11" xfId="0" applyNumberFormat="1" applyFont="1" applyFill="1" applyBorder="1" applyAlignment="1">
      <alignment/>
    </xf>
    <xf numFmtId="10" fontId="12" fillId="13" borderId="11" xfId="60" applyNumberFormat="1" applyFont="1" applyFill="1" applyBorder="1" applyAlignment="1">
      <alignment/>
    </xf>
    <xf numFmtId="4" fontId="12" fillId="13" borderId="11" xfId="60" applyNumberFormat="1" applyFont="1" applyFill="1" applyBorder="1" applyAlignment="1">
      <alignment horizontal="left"/>
    </xf>
    <xf numFmtId="4" fontId="12" fillId="13" borderId="11" xfId="0" applyNumberFormat="1" applyFont="1" applyFill="1" applyBorder="1" applyAlignment="1">
      <alignment/>
    </xf>
    <xf numFmtId="0" fontId="20" fillId="33" borderId="11" xfId="0" applyFont="1" applyFill="1" applyBorder="1" applyAlignment="1">
      <alignment/>
    </xf>
    <xf numFmtId="0" fontId="20" fillId="33" borderId="0" xfId="0" applyFont="1" applyFill="1" applyAlignment="1">
      <alignment/>
    </xf>
    <xf numFmtId="0" fontId="12" fillId="33" borderId="11" xfId="0" applyFont="1" applyFill="1" applyBorder="1" applyAlignment="1">
      <alignment/>
    </xf>
    <xf numFmtId="0" fontId="83" fillId="33" borderId="11" xfId="0" applyFont="1" applyFill="1" applyBorder="1" applyAlignment="1">
      <alignment/>
    </xf>
    <xf numFmtId="0" fontId="12" fillId="33" borderId="0" xfId="0" applyFont="1" applyFill="1" applyAlignment="1">
      <alignment horizontal="center"/>
    </xf>
    <xf numFmtId="0" fontId="12" fillId="33" borderId="0" xfId="0" applyFont="1" applyFill="1" applyBorder="1" applyAlignment="1">
      <alignment/>
    </xf>
    <xf numFmtId="0" fontId="12" fillId="33" borderId="0" xfId="0" applyFont="1" applyFill="1" applyBorder="1" applyAlignment="1">
      <alignment horizontal="center"/>
    </xf>
    <xf numFmtId="0" fontId="83" fillId="33" borderId="0" xfId="0" applyFont="1" applyFill="1" applyBorder="1" applyAlignment="1">
      <alignment horizontal="center"/>
    </xf>
    <xf numFmtId="0" fontId="20" fillId="13" borderId="11" xfId="0" applyFont="1" applyFill="1" applyBorder="1" applyAlignment="1">
      <alignment/>
    </xf>
    <xf numFmtId="2" fontId="20" fillId="13" borderId="11" xfId="0" applyNumberFormat="1" applyFont="1" applyFill="1" applyBorder="1" applyAlignment="1">
      <alignment horizontal="center"/>
    </xf>
    <xf numFmtId="164" fontId="20" fillId="13" borderId="11" xfId="45" applyNumberFormat="1" applyFont="1" applyFill="1" applyBorder="1" applyAlignment="1">
      <alignment/>
    </xf>
    <xf numFmtId="10" fontId="20" fillId="13" borderId="11" xfId="60" applyNumberFormat="1" applyFont="1" applyFill="1" applyBorder="1" applyAlignment="1">
      <alignment horizontal="center"/>
    </xf>
    <xf numFmtId="2" fontId="83" fillId="33" borderId="11" xfId="0" applyNumberFormat="1" applyFont="1" applyFill="1" applyBorder="1" applyAlignment="1">
      <alignment horizontal="center"/>
    </xf>
    <xf numFmtId="2" fontId="83" fillId="33" borderId="11" xfId="0" applyNumberFormat="1" applyFont="1" applyFill="1" applyBorder="1" applyAlignment="1">
      <alignment horizontal="right"/>
    </xf>
    <xf numFmtId="4" fontId="83" fillId="33" borderId="11" xfId="0" applyNumberFormat="1" applyFont="1" applyFill="1" applyBorder="1" applyAlignment="1">
      <alignment horizontal="right"/>
    </xf>
    <xf numFmtId="10" fontId="83" fillId="33" borderId="11" xfId="60" applyNumberFormat="1" applyFont="1" applyFill="1" applyBorder="1" applyAlignment="1">
      <alignment horizontal="center"/>
    </xf>
    <xf numFmtId="0" fontId="0" fillId="33" borderId="0" xfId="0" applyFill="1" applyBorder="1" applyAlignment="1">
      <alignment/>
    </xf>
    <xf numFmtId="10" fontId="5" fillId="33" borderId="0" xfId="0" applyNumberFormat="1" applyFont="1" applyFill="1" applyBorder="1" applyAlignment="1">
      <alignment/>
    </xf>
    <xf numFmtId="44" fontId="5" fillId="33" borderId="0" xfId="45" applyFont="1" applyFill="1" applyBorder="1" applyAlignment="1">
      <alignment/>
    </xf>
    <xf numFmtId="10" fontId="5" fillId="33" borderId="0" xfId="60" applyNumberFormat="1" applyFont="1" applyFill="1" applyBorder="1" applyAlignment="1">
      <alignment/>
    </xf>
    <xf numFmtId="44" fontId="80" fillId="33" borderId="0" xfId="45" applyFont="1" applyFill="1" applyBorder="1" applyAlignment="1">
      <alignment horizontal="left"/>
    </xf>
    <xf numFmtId="4" fontId="5" fillId="33" borderId="0" xfId="60" applyNumberFormat="1" applyFont="1" applyFill="1" applyBorder="1" applyAlignment="1">
      <alignment horizontal="left"/>
    </xf>
    <xf numFmtId="4" fontId="5" fillId="33" borderId="0" xfId="0" applyNumberFormat="1" applyFont="1" applyFill="1" applyBorder="1" applyAlignment="1">
      <alignment/>
    </xf>
    <xf numFmtId="10" fontId="5" fillId="13" borderId="11" xfId="0" applyNumberFormat="1" applyFont="1" applyFill="1" applyBorder="1" applyAlignment="1" applyProtection="1">
      <alignment/>
      <protection locked="0"/>
    </xf>
    <xf numFmtId="44" fontId="5" fillId="13" borderId="11" xfId="45" applyFont="1" applyFill="1" applyBorder="1" applyAlignment="1" applyProtection="1">
      <alignment/>
      <protection locked="0"/>
    </xf>
    <xf numFmtId="10" fontId="5" fillId="13" borderId="11" xfId="60" applyNumberFormat="1" applyFont="1" applyFill="1" applyBorder="1" applyAlignment="1" applyProtection="1">
      <alignment/>
      <protection locked="0"/>
    </xf>
    <xf numFmtId="4" fontId="5" fillId="13" borderId="11" xfId="60" applyNumberFormat="1" applyFont="1" applyFill="1" applyBorder="1" applyAlignment="1" applyProtection="1">
      <alignment horizontal="right"/>
      <protection locked="0"/>
    </xf>
    <xf numFmtId="0" fontId="3" fillId="13" borderId="11" xfId="0" applyFont="1" applyFill="1" applyBorder="1" applyAlignment="1" applyProtection="1">
      <alignment/>
      <protection locked="0"/>
    </xf>
    <xf numFmtId="2" fontId="3" fillId="13" borderId="11" xfId="0" applyNumberFormat="1" applyFont="1" applyFill="1" applyBorder="1" applyAlignment="1" applyProtection="1">
      <alignment horizontal="center"/>
      <protection locked="0"/>
    </xf>
    <xf numFmtId="164" fontId="3" fillId="13" borderId="11" xfId="45" applyNumberFormat="1" applyFont="1" applyFill="1" applyBorder="1" applyAlignment="1" applyProtection="1">
      <alignment/>
      <protection locked="0"/>
    </xf>
    <xf numFmtId="10" fontId="3" fillId="13" borderId="11" xfId="60" applyNumberFormat="1" applyFont="1" applyFill="1" applyBorder="1" applyAlignment="1" applyProtection="1">
      <alignment horizontal="center"/>
      <protection locked="0"/>
    </xf>
    <xf numFmtId="0" fontId="3" fillId="13" borderId="0" xfId="0" applyFont="1" applyFill="1" applyAlignment="1" applyProtection="1">
      <alignment horizontal="center"/>
      <protection locked="0"/>
    </xf>
    <xf numFmtId="2" fontId="84" fillId="0" borderId="0" xfId="0" applyNumberFormat="1" applyFont="1" applyAlignment="1">
      <alignment horizontal="center"/>
    </xf>
    <xf numFmtId="0" fontId="85" fillId="33" borderId="11" xfId="0" applyFont="1" applyFill="1" applyBorder="1" applyAlignment="1">
      <alignment/>
    </xf>
    <xf numFmtId="44" fontId="5" fillId="13" borderId="11" xfId="45" applyFont="1" applyFill="1" applyBorder="1" applyAlignment="1" applyProtection="1">
      <alignment horizontal="right"/>
      <protection locked="0"/>
    </xf>
    <xf numFmtId="172" fontId="3" fillId="0" borderId="0" xfId="60" applyNumberFormat="1" applyFont="1" applyAlignment="1">
      <alignment/>
    </xf>
    <xf numFmtId="44" fontId="86" fillId="13" borderId="11" xfId="45" applyFont="1" applyFill="1" applyBorder="1" applyAlignment="1" applyProtection="1">
      <alignment horizontal="right"/>
      <protection locked="0"/>
    </xf>
    <xf numFmtId="0" fontId="5" fillId="13" borderId="11" xfId="0" applyFont="1" applyFill="1" applyBorder="1" applyAlignment="1" applyProtection="1">
      <alignment horizontal="right"/>
      <protection locked="0"/>
    </xf>
    <xf numFmtId="0" fontId="87" fillId="35" borderId="0" xfId="0" applyFont="1" applyFill="1" applyBorder="1" applyAlignment="1">
      <alignment horizontal="center"/>
    </xf>
    <xf numFmtId="0" fontId="88" fillId="35" borderId="0" xfId="0" applyFont="1" applyFill="1" applyAlignment="1">
      <alignment horizontal="center" vertical="center" textRotation="90" wrapText="1"/>
    </xf>
    <xf numFmtId="0" fontId="89" fillId="33"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00" cy="161925"/>
    <xdr:sp fLocksText="0">
      <xdr:nvSpPr>
        <xdr:cNvPr id="1" name="Text Box 1"/>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2" name="Text Box 2"/>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3" name="Text Box 3"/>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4" name="Text Box 4"/>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5" name="Text Box 5"/>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6</xdr:row>
      <xdr:rowOff>9525</xdr:rowOff>
    </xdr:from>
    <xdr:to>
      <xdr:col>14</xdr:col>
      <xdr:colOff>561975</xdr:colOff>
      <xdr:row>19</xdr:row>
      <xdr:rowOff>114300</xdr:rowOff>
    </xdr:to>
    <xdr:sp>
      <xdr:nvSpPr>
        <xdr:cNvPr id="6" name="TextBox 10"/>
        <xdr:cNvSpPr txBox="1">
          <a:spLocks noChangeArrowheads="1"/>
        </xdr:cNvSpPr>
      </xdr:nvSpPr>
      <xdr:spPr>
        <a:xfrm>
          <a:off x="0" y="1047750"/>
          <a:ext cx="8696325" cy="2209800"/>
        </a:xfrm>
        <a:prstGeom prst="rect">
          <a:avLst/>
        </a:prstGeom>
        <a:noFill/>
        <a:ln w="9525" cmpd="sng">
          <a:noFill/>
        </a:ln>
      </xdr:spPr>
      <xdr:txBody>
        <a:bodyPr vertOverflow="clip" wrap="square" lIns="0" tIns="45720" rIns="91440" bIns="45720"/>
        <a:p>
          <a:pPr algn="l">
            <a:defRPr/>
          </a:pPr>
          <a:r>
            <a:rPr lang="en-US" cap="none" sz="900" b="0" i="0" u="none" baseline="0">
              <a:solidFill>
                <a:srgbClr val="000000"/>
              </a:solidFill>
              <a:latin typeface="Arial"/>
              <a:ea typeface="Arial"/>
              <a:cs typeface="Arial"/>
            </a:rPr>
            <a:t>These</a:t>
          </a:r>
          <a:r>
            <a:rPr lang="en-US" cap="none" sz="900" b="0" i="0" u="none" baseline="0">
              <a:solidFill>
                <a:srgbClr val="000000"/>
              </a:solidFill>
              <a:latin typeface="Arial"/>
              <a:ea typeface="Arial"/>
              <a:cs typeface="Arial"/>
            </a:rPr>
            <a:t> spreadsheets correspond to the information discussed in Chapters 9 and 10.  As was discussed in Chapter 9, ultimately we want to get out of the forecasting business, and evaluate other's forecasts in the context of current valuations and an objective assessment of the company's prospects.  The model within this MS Excel Workbook is a Free Cash Flow to Equity (FCFE) model (this is a different valuation model from the one used in Chapter 10, for the Hewlett Packard Company case).   FCFE models start with free cash flow to equity stakeholders and arrive at a per share equity value.  In creating the discount rates to be used within the FCFE valuation model, we first de-lever equity betas to account for capital structure differences in our comparables, and then we adjusted the average of these un-levered betas to reflect the expected long-term capital structure of the firm in question. In contrast to the Adjusted Present Value model discussed in Chapter 10, our free cash flow should reflect free cash flow to equity holders, not free cash flow to all stakeholders.  Also, keep in mind that this is a point-in-time estimate for a given company's value.  The values will change over time, as the company's prospects change and as the company adjusts its capital structure.  However, as this is a point-in-time estimate, much of the information used is current information - current balance sheet information, current share count and current risk-free rates.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This MS Excel Workbook contains four spreadsheets.  This first spreadsheet  ("Instructions") contains some simple instructions and comments.   The "Explanation of Input Fields" spreadsheet offers guidance and thoughts on procuring the information necessary for creating the matrix in the "Output" spreadsheet.  </a:t>
          </a:r>
          <a:r>
            <a:rPr lang="en-US" cap="none" sz="900" b="0" i="0" u="none" baseline="0">
              <a:solidFill>
                <a:srgbClr val="000000"/>
              </a:solidFill>
              <a:latin typeface="Arial"/>
              <a:ea typeface="Arial"/>
              <a:cs typeface="Arial"/>
            </a:rPr>
            <a:t>The "Inputs" spreadsheet provides cells highlighted in orange that will allow you to provide the underlying assumptions for the FCFE valuations provided in the "Output" spreadsheet.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00" cy="161925"/>
    <xdr:sp fLocksText="0">
      <xdr:nvSpPr>
        <xdr:cNvPr id="1" name="Text Box 1"/>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2" name="Text Box 2"/>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3" name="Text Box 3"/>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4" name="Text Box 4"/>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61925"/>
    <xdr:sp fLocksText="0">
      <xdr:nvSpPr>
        <xdr:cNvPr id="5" name="Text Box 5"/>
        <xdr:cNvSpPr txBox="1">
          <a:spLocks noChangeArrowheads="1"/>
        </xdr:cNvSpPr>
      </xdr:nvSpPr>
      <xdr:spPr>
        <a:xfrm>
          <a:off x="0" y="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209550</xdr:colOff>
      <xdr:row>19</xdr:row>
      <xdr:rowOff>47625</xdr:rowOff>
    </xdr:from>
    <xdr:to>
      <xdr:col>12</xdr:col>
      <xdr:colOff>400050</xdr:colOff>
      <xdr:row>26</xdr:row>
      <xdr:rowOff>190500</xdr:rowOff>
    </xdr:to>
    <xdr:sp>
      <xdr:nvSpPr>
        <xdr:cNvPr id="6" name="TextBox 6"/>
        <xdr:cNvSpPr txBox="1">
          <a:spLocks noChangeArrowheads="1"/>
        </xdr:cNvSpPr>
      </xdr:nvSpPr>
      <xdr:spPr>
        <a:xfrm>
          <a:off x="4076700" y="3486150"/>
          <a:ext cx="3238500" cy="139065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This information</a:t>
          </a:r>
          <a:r>
            <a:rPr lang="en-US" cap="none" sz="900" b="0" i="0" u="none" baseline="0">
              <a:solidFill>
                <a:srgbClr val="000000"/>
              </a:solidFill>
              <a:latin typeface="Arial"/>
              <a:ea typeface="Arial"/>
              <a:cs typeface="Arial"/>
            </a:rPr>
            <a:t> can be procured from a variety of sources: Value Line, Morningstar, Bloomberg.  A levered beta (</a:t>
          </a:r>
          <a:r>
            <a:rPr lang="en-US" cap="none" sz="1050" b="0" i="0" u="none" baseline="0">
              <a:solidFill>
                <a:srgbClr val="000000"/>
              </a:solidFill>
              <a:latin typeface="Symbol"/>
              <a:ea typeface="Symbol"/>
              <a:cs typeface="Symbol"/>
            </a:rPr>
            <a:t>b</a:t>
          </a:r>
          <a:r>
            <a:rPr lang="en-US" cap="none" sz="1050" b="0" i="0" u="none" baseline="-25000">
              <a:solidFill>
                <a:srgbClr val="000000"/>
              </a:solidFill>
              <a:latin typeface="Arial"/>
              <a:ea typeface="Arial"/>
              <a:cs typeface="Arial"/>
            </a:rPr>
            <a:t>L</a:t>
          </a:r>
          <a:r>
            <a:rPr lang="en-US" cap="none" sz="900" b="0" i="0" u="none" baseline="0">
              <a:solidFill>
                <a:srgbClr val="000000"/>
              </a:solidFill>
              <a:latin typeface="Arial"/>
              <a:ea typeface="Arial"/>
              <a:cs typeface="Arial"/>
            </a:rPr>
            <a:t>) is simply the company's equity beta.  In calculating the unlevered beta (</a:t>
          </a:r>
          <a:r>
            <a:rPr lang="en-US" cap="none" sz="1050" b="0" i="0" u="none" baseline="0">
              <a:solidFill>
                <a:srgbClr val="000000"/>
              </a:solidFill>
              <a:latin typeface="Symbol"/>
              <a:ea typeface="Symbol"/>
              <a:cs typeface="Symbol"/>
            </a:rPr>
            <a:t>b</a:t>
          </a:r>
          <a:r>
            <a:rPr lang="en-US" cap="none" sz="1050" b="0" i="0" u="none" baseline="-25000">
              <a:solidFill>
                <a:srgbClr val="000000"/>
              </a:solidFill>
              <a:latin typeface="Arial"/>
              <a:ea typeface="Arial"/>
              <a:cs typeface="Arial"/>
            </a:rPr>
            <a:t>UL</a:t>
          </a:r>
          <a:r>
            <a:rPr lang="en-US" cap="none" sz="900" b="0" i="0" u="none" baseline="0">
              <a:solidFill>
                <a:srgbClr val="000000"/>
              </a:solidFill>
              <a:latin typeface="Arial"/>
              <a:ea typeface="Arial"/>
              <a:cs typeface="Arial"/>
            </a:rPr>
            <a:t>) we are adjusting the company's levered equity beta (</a:t>
          </a:r>
          <a:r>
            <a:rPr lang="en-US" cap="none" sz="1050" b="0" i="0" u="none" baseline="0">
              <a:solidFill>
                <a:srgbClr val="000000"/>
              </a:solidFill>
              <a:latin typeface="Symbol"/>
              <a:ea typeface="Symbol"/>
              <a:cs typeface="Symbol"/>
            </a:rPr>
            <a:t>b</a:t>
          </a:r>
          <a:r>
            <a:rPr lang="en-US" cap="none" sz="900" b="0" i="0" u="none" baseline="-25000">
              <a:solidFill>
                <a:srgbClr val="000000"/>
              </a:solidFill>
              <a:latin typeface="Arial"/>
              <a:ea typeface="Arial"/>
              <a:cs typeface="Arial"/>
            </a:rPr>
            <a:t>L</a:t>
          </a:r>
          <a:r>
            <a:rPr lang="en-US" cap="none" sz="900" b="0" i="0" u="none" baseline="0">
              <a:solidFill>
                <a:srgbClr val="000000"/>
              </a:solidFill>
              <a:latin typeface="Arial"/>
              <a:ea typeface="Arial"/>
              <a:cs typeface="Arial"/>
            </a:rPr>
            <a:t>)to estimate the company's asset beta.  For the Free Cash Flow to Equity model, we then re-lever the un-levered average to reflect the company in question's capital structure.  Obviously, one could use more or less comparables.  </a:t>
          </a:r>
        </a:p>
      </xdr:txBody>
    </xdr:sp>
    <xdr:clientData/>
  </xdr:twoCellAnchor>
  <xdr:twoCellAnchor>
    <xdr:from>
      <xdr:col>7</xdr:col>
      <xdr:colOff>95250</xdr:colOff>
      <xdr:row>18</xdr:row>
      <xdr:rowOff>152400</xdr:rowOff>
    </xdr:from>
    <xdr:to>
      <xdr:col>7</xdr:col>
      <xdr:colOff>209550</xdr:colOff>
      <xdr:row>27</xdr:row>
      <xdr:rowOff>19050</xdr:rowOff>
    </xdr:to>
    <xdr:sp>
      <xdr:nvSpPr>
        <xdr:cNvPr id="7" name="Right Brace 8"/>
        <xdr:cNvSpPr>
          <a:spLocks/>
        </xdr:cNvSpPr>
      </xdr:nvSpPr>
      <xdr:spPr>
        <a:xfrm>
          <a:off x="3962400" y="3438525"/>
          <a:ext cx="114300" cy="14668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32</xdr:row>
      <xdr:rowOff>47625</xdr:rowOff>
    </xdr:from>
    <xdr:to>
      <xdr:col>4</xdr:col>
      <xdr:colOff>171450</xdr:colOff>
      <xdr:row>49</xdr:row>
      <xdr:rowOff>133350</xdr:rowOff>
    </xdr:to>
    <xdr:sp>
      <xdr:nvSpPr>
        <xdr:cNvPr id="8" name="Right Brace 9"/>
        <xdr:cNvSpPr>
          <a:spLocks/>
        </xdr:cNvSpPr>
      </xdr:nvSpPr>
      <xdr:spPr>
        <a:xfrm>
          <a:off x="2381250" y="5810250"/>
          <a:ext cx="95250" cy="29908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38</xdr:row>
      <xdr:rowOff>123825</xdr:rowOff>
    </xdr:from>
    <xdr:to>
      <xdr:col>11</xdr:col>
      <xdr:colOff>0</xdr:colOff>
      <xdr:row>41</xdr:row>
      <xdr:rowOff>142875</xdr:rowOff>
    </xdr:to>
    <xdr:sp>
      <xdr:nvSpPr>
        <xdr:cNvPr id="9" name="TextBox 10"/>
        <xdr:cNvSpPr txBox="1">
          <a:spLocks noChangeArrowheads="1"/>
        </xdr:cNvSpPr>
      </xdr:nvSpPr>
      <xdr:spPr>
        <a:xfrm>
          <a:off x="2562225" y="6905625"/>
          <a:ext cx="3743325" cy="533400"/>
        </a:xfrm>
        <a:prstGeom prst="rect">
          <a:avLst/>
        </a:prstGeom>
        <a:noFill/>
        <a:ln w="9525" cmpd="sng">
          <a:noFill/>
        </a:ln>
      </xdr:spPr>
      <xdr:txBody>
        <a:bodyPr vertOverflow="clip" wrap="square"/>
        <a:p>
          <a:pPr algn="l">
            <a:defRPr/>
          </a:pPr>
          <a:r>
            <a:rPr lang="en-US" cap="none" sz="900" b="0" i="0" u="none" baseline="0">
              <a:solidFill>
                <a:srgbClr val="000000"/>
              </a:solidFill>
              <a:latin typeface="Arial"/>
              <a:ea typeface="Arial"/>
              <a:cs typeface="Arial"/>
            </a:rPr>
            <a:t>This information</a:t>
          </a:r>
          <a:r>
            <a:rPr lang="en-US" cap="none" sz="900" b="0" i="0" u="none" baseline="0">
              <a:solidFill>
                <a:srgbClr val="000000"/>
              </a:solidFill>
              <a:latin typeface="Arial"/>
              <a:ea typeface="Arial"/>
              <a:cs typeface="Arial"/>
            </a:rPr>
            <a:t> can be procured from a variety of sources, including The Wall Street Journal and Bloomberg.  I generally use the most closely dated US Treasury strip, yield-to-maturity as the risk free rate.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6200" cy="190500"/>
    <xdr:sp fLocksText="0">
      <xdr:nvSpPr>
        <xdr:cNvPr id="1" name="Text Box 1"/>
        <xdr:cNvSpPr txBox="1">
          <a:spLocks noChangeArrowheads="1"/>
        </xdr:cNvSpPr>
      </xdr:nvSpPr>
      <xdr:spPr>
        <a:xfrm>
          <a:off x="0"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90500"/>
    <xdr:sp fLocksText="0">
      <xdr:nvSpPr>
        <xdr:cNvPr id="2" name="Text Box 2"/>
        <xdr:cNvSpPr txBox="1">
          <a:spLocks noChangeArrowheads="1"/>
        </xdr:cNvSpPr>
      </xdr:nvSpPr>
      <xdr:spPr>
        <a:xfrm>
          <a:off x="0"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90500"/>
    <xdr:sp fLocksText="0">
      <xdr:nvSpPr>
        <xdr:cNvPr id="3" name="Text Box 3"/>
        <xdr:cNvSpPr txBox="1">
          <a:spLocks noChangeArrowheads="1"/>
        </xdr:cNvSpPr>
      </xdr:nvSpPr>
      <xdr:spPr>
        <a:xfrm>
          <a:off x="0"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90500"/>
    <xdr:sp fLocksText="0">
      <xdr:nvSpPr>
        <xdr:cNvPr id="4" name="Text Box 4"/>
        <xdr:cNvSpPr txBox="1">
          <a:spLocks noChangeArrowheads="1"/>
        </xdr:cNvSpPr>
      </xdr:nvSpPr>
      <xdr:spPr>
        <a:xfrm>
          <a:off x="0"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6200" cy="190500"/>
    <xdr:sp fLocksText="0">
      <xdr:nvSpPr>
        <xdr:cNvPr id="5" name="Text Box 5"/>
        <xdr:cNvSpPr txBox="1">
          <a:spLocks noChangeArrowheads="1"/>
        </xdr:cNvSpPr>
      </xdr:nvSpPr>
      <xdr:spPr>
        <a:xfrm>
          <a:off x="0" y="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123825</xdr:rowOff>
    </xdr:from>
    <xdr:to>
      <xdr:col>16</xdr:col>
      <xdr:colOff>504825</xdr:colOff>
      <xdr:row>41</xdr:row>
      <xdr:rowOff>114300</xdr:rowOff>
    </xdr:to>
    <xdr:sp>
      <xdr:nvSpPr>
        <xdr:cNvPr id="1" name="TextBox 1"/>
        <xdr:cNvSpPr txBox="1">
          <a:spLocks noChangeArrowheads="1"/>
        </xdr:cNvSpPr>
      </xdr:nvSpPr>
      <xdr:spPr>
        <a:xfrm>
          <a:off x="0" y="6696075"/>
          <a:ext cx="8982075" cy="638175"/>
        </a:xfrm>
        <a:prstGeom prst="rect">
          <a:avLst/>
        </a:prstGeom>
        <a:noFill/>
        <a:ln w="9525" cmpd="sng">
          <a:noFill/>
        </a:ln>
      </xdr:spPr>
      <xdr:txBody>
        <a:bodyPr vertOverflow="clip" wrap="square" lIns="0" tIns="45720" rIns="91440" bIns="45720"/>
        <a:p>
          <a:pPr algn="l">
            <a:defRPr/>
          </a:pPr>
          <a:r>
            <a:rPr lang="en-US" cap="none" sz="900" b="0" i="0" u="none" baseline="0">
              <a:solidFill>
                <a:srgbClr val="000000"/>
              </a:solidFill>
              <a:latin typeface="Arial"/>
              <a:ea typeface="Arial"/>
              <a:cs typeface="Arial"/>
            </a:rPr>
            <a:t>The analysis above</a:t>
          </a:r>
          <a:r>
            <a:rPr lang="en-US" cap="none" sz="900" b="0" i="0" u="none" baseline="0">
              <a:solidFill>
                <a:srgbClr val="000000"/>
              </a:solidFill>
              <a:latin typeface="Arial"/>
              <a:ea typeface="Arial"/>
              <a:cs typeface="Arial"/>
            </a:rPr>
            <a:t> is based upon estimates of uncertainties.  This analysis is best used as a rough indication of the market's implied growth rate and implied growth duration.  Again, we don't know what the future holds, but we are interested in coming to an unbiased and objective assessment of the various uncertainties that underpin any valuation and then determining if the company in question is undervalued based upon our analysis in this manner.  This type of analysis should not be considered a prediction of the future.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5"/>
  <sheetViews>
    <sheetView tabSelected="1" zoomScale="130" zoomScaleNormal="130" zoomScalePageLayoutView="0" workbookViewId="0" topLeftCell="A1">
      <selection activeCell="A1" sqref="A1"/>
    </sheetView>
  </sheetViews>
  <sheetFormatPr defaultColWidth="9.140625" defaultRowHeight="12.75"/>
  <cols>
    <col min="1" max="1" width="10.57421875" style="20" customWidth="1"/>
    <col min="2" max="2" width="6.00390625" style="20" customWidth="1"/>
    <col min="3" max="3" width="10.8515625" style="20" customWidth="1"/>
    <col min="4" max="4" width="7.140625" style="20" customWidth="1"/>
    <col min="5" max="5" width="9.28125" style="20" customWidth="1"/>
    <col min="6" max="6" width="8.00390625" style="20" customWidth="1"/>
    <col min="7" max="7" width="6.140625" style="20" customWidth="1"/>
    <col min="8" max="16384" width="9.140625" style="20" customWidth="1"/>
  </cols>
  <sheetData>
    <row r="1" ht="18">
      <c r="A1" s="26" t="s">
        <v>47</v>
      </c>
    </row>
    <row r="2" ht="12.75">
      <c r="A2" s="25" t="s">
        <v>48</v>
      </c>
    </row>
    <row r="3" ht="12.75">
      <c r="A3" s="25"/>
    </row>
    <row r="4" ht="12.75">
      <c r="A4" s="25"/>
    </row>
    <row r="5" ht="12.75">
      <c r="A5" s="27" t="s">
        <v>80</v>
      </c>
    </row>
    <row r="6" ht="12.75">
      <c r="A6" s="25"/>
    </row>
    <row r="7" ht="12.75">
      <c r="A7" s="25"/>
    </row>
    <row r="8" ht="12.75">
      <c r="A8" s="25"/>
    </row>
    <row r="9" ht="12.75">
      <c r="A9" s="25"/>
    </row>
    <row r="10" ht="12.75">
      <c r="A10" s="25"/>
    </row>
    <row r="11" ht="12.75">
      <c r="A11" s="25"/>
    </row>
    <row r="12" ht="12.75">
      <c r="A12" s="25"/>
    </row>
    <row r="13" ht="12.75">
      <c r="A13" s="25"/>
    </row>
    <row r="14" ht="12.75">
      <c r="A14" s="25"/>
    </row>
    <row r="15" ht="12.75">
      <c r="A15" s="25"/>
    </row>
  </sheetData>
  <sheetProtection password="868B" sheet="1" objects="1" scenarios="1"/>
  <printOptions/>
  <pageMargins left="0.25" right="0.25" top="0.25" bottom="0.2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S50"/>
  <sheetViews>
    <sheetView zoomScale="130" zoomScaleNormal="130" zoomScalePageLayoutView="0" workbookViewId="0" topLeftCell="A1">
      <selection activeCell="A1" sqref="A1"/>
    </sheetView>
  </sheetViews>
  <sheetFormatPr defaultColWidth="9.140625" defaultRowHeight="12.75"/>
  <cols>
    <col min="1" max="1" width="10.57421875" style="20" customWidth="1"/>
    <col min="2" max="2" width="6.00390625" style="20" customWidth="1"/>
    <col min="3" max="3" width="10.8515625" style="20" customWidth="1"/>
    <col min="4" max="4" width="7.140625" style="20" customWidth="1"/>
    <col min="5" max="5" width="9.28125" style="20" customWidth="1"/>
    <col min="6" max="6" width="8.00390625" style="20" customWidth="1"/>
    <col min="7" max="7" width="6.140625" style="20" customWidth="1"/>
    <col min="8" max="16384" width="9.140625" style="20" customWidth="1"/>
  </cols>
  <sheetData>
    <row r="1" ht="18">
      <c r="A1" s="26" t="s">
        <v>47</v>
      </c>
    </row>
    <row r="2" ht="12.75">
      <c r="A2" s="25" t="s">
        <v>48</v>
      </c>
    </row>
    <row r="3" ht="12.75">
      <c r="A3" s="25"/>
    </row>
    <row r="4" ht="12.75">
      <c r="A4" s="25"/>
    </row>
    <row r="5" ht="12.75">
      <c r="A5" s="27" t="s">
        <v>81</v>
      </c>
    </row>
    <row r="6" spans="1:12" ht="12.75">
      <c r="A6" s="38"/>
      <c r="B6" s="38"/>
      <c r="C6" s="38"/>
      <c r="D6" s="38"/>
      <c r="E6" s="38"/>
      <c r="F6" s="38"/>
      <c r="G6" s="38"/>
      <c r="H6" s="38"/>
      <c r="I6" s="38"/>
      <c r="J6" s="38"/>
      <c r="K6" s="38"/>
      <c r="L6" s="38"/>
    </row>
    <row r="7" spans="1:19" ht="16.5" thickBot="1">
      <c r="A7" s="33" t="s">
        <v>49</v>
      </c>
      <c r="B7" s="34"/>
      <c r="C7" s="34"/>
      <c r="D7" s="34"/>
      <c r="E7" s="34"/>
      <c r="F7" s="34"/>
      <c r="G7" s="34"/>
      <c r="H7" s="34"/>
      <c r="I7" s="34"/>
      <c r="J7" s="34"/>
      <c r="K7" s="34"/>
      <c r="L7" s="34"/>
      <c r="M7" s="34"/>
      <c r="N7" s="34"/>
      <c r="O7" s="34"/>
      <c r="P7" s="42"/>
      <c r="Q7" s="42"/>
      <c r="R7" s="42"/>
      <c r="S7" s="42"/>
    </row>
    <row r="8" spans="1:19" ht="14.25" thickBot="1">
      <c r="A8" s="91" t="s">
        <v>52</v>
      </c>
      <c r="B8" s="91"/>
      <c r="C8" s="91"/>
      <c r="D8" s="91"/>
      <c r="E8" s="86" t="s">
        <v>72</v>
      </c>
      <c r="F8" s="77"/>
      <c r="G8" s="77"/>
      <c r="H8" s="77"/>
      <c r="I8" s="77"/>
      <c r="J8" s="74"/>
      <c r="K8" s="74"/>
      <c r="L8" s="74"/>
      <c r="M8" s="74"/>
      <c r="N8" s="74"/>
      <c r="O8" s="74"/>
      <c r="P8" s="107"/>
      <c r="Q8" s="107"/>
      <c r="R8" s="107"/>
      <c r="S8" s="107"/>
    </row>
    <row r="9" spans="1:19" ht="14.25" thickBot="1">
      <c r="A9" s="91" t="s">
        <v>53</v>
      </c>
      <c r="B9" s="91"/>
      <c r="C9" s="91"/>
      <c r="D9" s="93"/>
      <c r="E9" s="87" t="s">
        <v>89</v>
      </c>
      <c r="F9" s="47"/>
      <c r="G9" s="47"/>
      <c r="H9" s="47"/>
      <c r="I9" s="47"/>
      <c r="J9" s="32"/>
      <c r="K9" s="32"/>
      <c r="L9" s="32"/>
      <c r="M9" s="32"/>
      <c r="N9" s="32"/>
      <c r="O9" s="32"/>
      <c r="P9" s="108"/>
      <c r="Q9" s="108"/>
      <c r="R9" s="108"/>
      <c r="S9" s="108"/>
    </row>
    <row r="10" spans="1:19" ht="14.25" thickBot="1">
      <c r="A10" s="91" t="s">
        <v>44</v>
      </c>
      <c r="B10" s="91"/>
      <c r="C10" s="91"/>
      <c r="D10" s="93"/>
      <c r="E10" s="88" t="s">
        <v>67</v>
      </c>
      <c r="F10" s="79"/>
      <c r="G10" s="79"/>
      <c r="H10" s="79"/>
      <c r="I10" s="79"/>
      <c r="J10" s="31"/>
      <c r="K10" s="31"/>
      <c r="L10" s="31"/>
      <c r="M10" s="31"/>
      <c r="N10" s="31"/>
      <c r="O10" s="31"/>
      <c r="P10" s="109"/>
      <c r="Q10" s="109"/>
      <c r="R10" s="109"/>
      <c r="S10" s="109"/>
    </row>
    <row r="11" spans="1:19" ht="14.25" thickBot="1">
      <c r="A11" s="91" t="s">
        <v>43</v>
      </c>
      <c r="B11" s="91"/>
      <c r="C11" s="91"/>
      <c r="D11" s="93"/>
      <c r="E11" s="88" t="s">
        <v>68</v>
      </c>
      <c r="F11" s="78"/>
      <c r="G11" s="78"/>
      <c r="H11" s="78"/>
      <c r="I11" s="78"/>
      <c r="J11" s="59"/>
      <c r="K11" s="59"/>
      <c r="L11" s="59"/>
      <c r="M11" s="59"/>
      <c r="N11" s="59"/>
      <c r="O11" s="59"/>
      <c r="P11" s="109"/>
      <c r="Q11" s="109"/>
      <c r="R11" s="109"/>
      <c r="S11" s="109"/>
    </row>
    <row r="12" spans="1:19" ht="14.25" thickBot="1">
      <c r="A12" s="91" t="s">
        <v>74</v>
      </c>
      <c r="B12" s="91"/>
      <c r="C12" s="91"/>
      <c r="D12" s="93"/>
      <c r="E12" s="88" t="s">
        <v>68</v>
      </c>
      <c r="F12" s="79"/>
      <c r="G12" s="79"/>
      <c r="H12" s="79"/>
      <c r="I12" s="79"/>
      <c r="J12" s="31"/>
      <c r="K12" s="31"/>
      <c r="L12" s="31"/>
      <c r="M12" s="31"/>
      <c r="N12" s="31"/>
      <c r="O12" s="31"/>
      <c r="P12" s="110"/>
      <c r="Q12" s="110"/>
      <c r="R12" s="110"/>
      <c r="S12" s="110"/>
    </row>
    <row r="13" spans="1:19" ht="14.25" thickBot="1">
      <c r="A13" s="91" t="s">
        <v>73</v>
      </c>
      <c r="B13" s="91"/>
      <c r="C13" s="91"/>
      <c r="D13" s="93"/>
      <c r="E13" s="88" t="s">
        <v>77</v>
      </c>
      <c r="F13" s="78"/>
      <c r="G13" s="78"/>
      <c r="H13" s="78"/>
      <c r="I13" s="78"/>
      <c r="J13" s="59"/>
      <c r="K13" s="59"/>
      <c r="L13" s="59"/>
      <c r="M13" s="59"/>
      <c r="N13" s="59"/>
      <c r="O13" s="59"/>
      <c r="P13" s="111"/>
      <c r="Q13" s="111"/>
      <c r="R13" s="111"/>
      <c r="S13" s="111"/>
    </row>
    <row r="14" spans="1:19" ht="14.25" thickBot="1">
      <c r="A14" s="91" t="s">
        <v>45</v>
      </c>
      <c r="B14" s="91"/>
      <c r="C14" s="91"/>
      <c r="D14" s="93"/>
      <c r="E14" s="89" t="s">
        <v>59</v>
      </c>
      <c r="F14" s="80"/>
      <c r="G14" s="80"/>
      <c r="H14" s="80"/>
      <c r="I14" s="80"/>
      <c r="J14" s="73"/>
      <c r="K14" s="73"/>
      <c r="L14" s="73"/>
      <c r="M14" s="73"/>
      <c r="N14" s="73"/>
      <c r="O14" s="73"/>
      <c r="P14" s="112"/>
      <c r="Q14" s="112"/>
      <c r="R14" s="112"/>
      <c r="S14" s="112"/>
    </row>
    <row r="15" spans="1:19" ht="14.25" thickBot="1">
      <c r="A15" s="91" t="s">
        <v>76</v>
      </c>
      <c r="B15" s="91"/>
      <c r="C15" s="91"/>
      <c r="D15" s="93"/>
      <c r="E15" s="90" t="s">
        <v>69</v>
      </c>
      <c r="F15" s="81"/>
      <c r="G15" s="81"/>
      <c r="H15" s="81"/>
      <c r="I15" s="81"/>
      <c r="J15" s="60"/>
      <c r="K15" s="60"/>
      <c r="L15" s="60"/>
      <c r="M15" s="60"/>
      <c r="N15" s="60"/>
      <c r="O15" s="60"/>
      <c r="P15" s="113"/>
      <c r="Q15" s="113"/>
      <c r="R15" s="113"/>
      <c r="S15" s="113"/>
    </row>
    <row r="16" spans="1:19" ht="14.25" thickBot="1">
      <c r="A16" s="91" t="s">
        <v>54</v>
      </c>
      <c r="B16" s="91"/>
      <c r="C16" s="91"/>
      <c r="D16" s="93"/>
      <c r="E16" s="87" t="s">
        <v>60</v>
      </c>
      <c r="F16" s="47"/>
      <c r="G16" s="47"/>
      <c r="H16" s="47"/>
      <c r="I16" s="47"/>
      <c r="J16" s="32"/>
      <c r="K16" s="32"/>
      <c r="L16" s="32"/>
      <c r="M16" s="32"/>
      <c r="N16" s="32"/>
      <c r="O16" s="32"/>
      <c r="P16" s="108"/>
      <c r="Q16" s="108"/>
      <c r="R16" s="108"/>
      <c r="S16" s="108"/>
    </row>
    <row r="17" spans="1:19" ht="12.75">
      <c r="A17" s="38"/>
      <c r="B17" s="38"/>
      <c r="C17" s="38"/>
      <c r="D17" s="38"/>
      <c r="E17" s="38"/>
      <c r="F17" s="38"/>
      <c r="G17" s="37"/>
      <c r="H17" s="38"/>
      <c r="P17" s="107"/>
      <c r="Q17" s="107"/>
      <c r="R17" s="107"/>
      <c r="S17" s="107"/>
    </row>
    <row r="18" spans="1:8" ht="19.5">
      <c r="A18" s="33" t="s">
        <v>79</v>
      </c>
      <c r="B18" s="34"/>
      <c r="C18" s="34"/>
      <c r="D18" s="34"/>
      <c r="E18" s="34"/>
      <c r="F18" s="34"/>
      <c r="G18" s="34"/>
      <c r="H18" s="38"/>
    </row>
    <row r="19" spans="1:8" ht="12" customHeight="1">
      <c r="A19" s="92"/>
      <c r="B19" s="92"/>
      <c r="C19" s="92"/>
      <c r="D19" s="92"/>
      <c r="E19" s="95" t="s">
        <v>62</v>
      </c>
      <c r="F19" s="92"/>
      <c r="G19" s="92"/>
      <c r="H19" s="38"/>
    </row>
    <row r="20" spans="1:8" ht="12.75" customHeight="1" thickBot="1">
      <c r="A20" s="96" t="s">
        <v>0</v>
      </c>
      <c r="B20" s="96"/>
      <c r="C20" s="97" t="s">
        <v>70</v>
      </c>
      <c r="D20" s="97" t="s">
        <v>1</v>
      </c>
      <c r="E20" s="97" t="s">
        <v>57</v>
      </c>
      <c r="F20" s="97" t="s">
        <v>2</v>
      </c>
      <c r="G20" s="98" t="s">
        <v>71</v>
      </c>
      <c r="H20" s="38"/>
    </row>
    <row r="21" spans="1:8" ht="14.25" thickBot="1">
      <c r="A21" s="99" t="s">
        <v>61</v>
      </c>
      <c r="B21" s="99"/>
      <c r="C21" s="100">
        <v>1</v>
      </c>
      <c r="D21" s="101">
        <v>1</v>
      </c>
      <c r="E21" s="101">
        <v>1</v>
      </c>
      <c r="F21" s="102">
        <v>0.25</v>
      </c>
      <c r="G21" s="103">
        <f>C21/(1+(1-F21)*(D21/E21))</f>
        <v>0.5714285714285714</v>
      </c>
      <c r="H21" s="38"/>
    </row>
    <row r="22" spans="1:8" ht="14.25" thickBot="1">
      <c r="A22" s="99" t="s">
        <v>63</v>
      </c>
      <c r="B22" s="99"/>
      <c r="C22" s="100">
        <v>1</v>
      </c>
      <c r="D22" s="101">
        <v>1</v>
      </c>
      <c r="E22" s="101">
        <v>1</v>
      </c>
      <c r="F22" s="102">
        <v>0.25</v>
      </c>
      <c r="G22" s="103">
        <f>C22/(1+(1-F22)*(D22/E22))</f>
        <v>0.5714285714285714</v>
      </c>
      <c r="H22" s="38"/>
    </row>
    <row r="23" spans="1:8" ht="14.25" thickBot="1">
      <c r="A23" s="99" t="s">
        <v>64</v>
      </c>
      <c r="B23" s="99"/>
      <c r="C23" s="100">
        <v>1</v>
      </c>
      <c r="D23" s="101">
        <v>1</v>
      </c>
      <c r="E23" s="101">
        <v>1</v>
      </c>
      <c r="F23" s="102">
        <v>0.25</v>
      </c>
      <c r="G23" s="103">
        <f>C23/(1+(1-F23)*(D23/E23))</f>
        <v>0.5714285714285714</v>
      </c>
      <c r="H23" s="38"/>
    </row>
    <row r="24" spans="1:8" ht="14.25" thickBot="1">
      <c r="A24" s="99" t="s">
        <v>65</v>
      </c>
      <c r="B24" s="99"/>
      <c r="C24" s="100">
        <v>1</v>
      </c>
      <c r="D24" s="101">
        <v>1</v>
      </c>
      <c r="E24" s="101">
        <v>1</v>
      </c>
      <c r="F24" s="102">
        <v>0.25</v>
      </c>
      <c r="G24" s="103">
        <f>C24/(1+(1-F24)*(D24/E24))</f>
        <v>0.5714285714285714</v>
      </c>
      <c r="H24" s="38"/>
    </row>
    <row r="25" spans="1:8" ht="14.25" thickBot="1">
      <c r="A25" s="99" t="s">
        <v>66</v>
      </c>
      <c r="B25" s="99"/>
      <c r="C25" s="100">
        <v>1</v>
      </c>
      <c r="D25" s="101">
        <v>1</v>
      </c>
      <c r="E25" s="101">
        <v>1</v>
      </c>
      <c r="F25" s="102">
        <v>0.25</v>
      </c>
      <c r="G25" s="103">
        <f>C25/(1+(1-F25)*(D25/E25))</f>
        <v>0.5714285714285714</v>
      </c>
      <c r="H25" s="38"/>
    </row>
    <row r="26" spans="1:8" ht="14.25" thickBot="1">
      <c r="A26" s="94" t="s">
        <v>9</v>
      </c>
      <c r="B26" s="94"/>
      <c r="C26" s="103"/>
      <c r="D26" s="104"/>
      <c r="E26" s="105"/>
      <c r="F26" s="106">
        <f>AVERAGE(F21:F25)</f>
        <v>0.25</v>
      </c>
      <c r="G26" s="103">
        <f>AVERAGE(G21:G25)</f>
        <v>0.5714285714285714</v>
      </c>
      <c r="H26" s="38"/>
    </row>
    <row r="27" spans="1:8" ht="15.75" thickBot="1">
      <c r="A27" s="94" t="s">
        <v>78</v>
      </c>
      <c r="B27" s="94"/>
      <c r="C27" s="103"/>
      <c r="D27" s="104"/>
      <c r="E27" s="105"/>
      <c r="F27" s="106"/>
      <c r="G27" s="103">
        <f>G26</f>
        <v>0.5714285714285714</v>
      </c>
      <c r="H27" s="38"/>
    </row>
    <row r="28" spans="1:12" ht="12.75">
      <c r="A28" s="38"/>
      <c r="B28" s="38"/>
      <c r="C28" s="38"/>
      <c r="D28" s="38"/>
      <c r="E28" s="38"/>
      <c r="F28" s="38"/>
      <c r="G28" s="38"/>
      <c r="H28" s="38"/>
      <c r="I28" s="38"/>
      <c r="J28" s="38"/>
      <c r="K28" s="38"/>
      <c r="L28" s="38"/>
    </row>
    <row r="29" spans="1:4" ht="16.5" thickBot="1">
      <c r="A29" s="33" t="s">
        <v>50</v>
      </c>
      <c r="B29" s="34"/>
      <c r="C29" s="34"/>
      <c r="D29" s="34"/>
    </row>
    <row r="30" spans="1:4" ht="13.5" thickBot="1">
      <c r="A30" s="76" t="s">
        <v>3</v>
      </c>
      <c r="B30" s="76"/>
      <c r="C30" s="76"/>
      <c r="D30" s="79">
        <v>0.045</v>
      </c>
    </row>
    <row r="31" spans="1:4" ht="13.5" thickBot="1">
      <c r="A31" s="76" t="s">
        <v>42</v>
      </c>
      <c r="B31" s="76"/>
      <c r="C31" s="76"/>
      <c r="D31" s="79">
        <v>0</v>
      </c>
    </row>
    <row r="32" spans="1:4" ht="12.75">
      <c r="A32" s="56"/>
      <c r="B32" s="56"/>
      <c r="C32" s="56"/>
      <c r="D32" s="56"/>
    </row>
    <row r="33" spans="1:4" ht="12.75">
      <c r="A33" s="56"/>
      <c r="B33" s="56"/>
      <c r="C33" s="83" t="s">
        <v>55</v>
      </c>
      <c r="D33" s="84" t="s">
        <v>51</v>
      </c>
    </row>
    <row r="34" spans="1:4" ht="13.5" thickBot="1">
      <c r="A34" s="56"/>
      <c r="B34" s="56"/>
      <c r="C34" s="83" t="s">
        <v>11</v>
      </c>
      <c r="D34" s="84" t="s">
        <v>11</v>
      </c>
    </row>
    <row r="35" spans="1:4" ht="13.5" thickBot="1">
      <c r="A35" s="76" t="s">
        <v>4</v>
      </c>
      <c r="B35" s="76"/>
      <c r="C35" s="82">
        <v>0</v>
      </c>
      <c r="D35" s="85">
        <f aca="true" t="shared" si="0" ref="D35:D50">C35+($D$30*$G$27)+$D$31</f>
        <v>0.02571428571428571</v>
      </c>
    </row>
    <row r="36" spans="1:4" ht="13.5" thickBot="1">
      <c r="A36" s="76" t="s">
        <v>5</v>
      </c>
      <c r="B36" s="76"/>
      <c r="C36" s="82">
        <v>0</v>
      </c>
      <c r="D36" s="85">
        <f t="shared" si="0"/>
        <v>0.02571428571428571</v>
      </c>
    </row>
    <row r="37" spans="1:4" ht="13.5" thickBot="1">
      <c r="A37" s="76" t="s">
        <v>6</v>
      </c>
      <c r="B37" s="76"/>
      <c r="C37" s="82">
        <v>0</v>
      </c>
      <c r="D37" s="85">
        <f t="shared" si="0"/>
        <v>0.02571428571428571</v>
      </c>
    </row>
    <row r="38" spans="1:4" ht="13.5" thickBot="1">
      <c r="A38" s="76" t="s">
        <v>7</v>
      </c>
      <c r="B38" s="76"/>
      <c r="C38" s="82">
        <v>0</v>
      </c>
      <c r="D38" s="85">
        <f t="shared" si="0"/>
        <v>0.02571428571428571</v>
      </c>
    </row>
    <row r="39" spans="1:4" ht="13.5" thickBot="1">
      <c r="A39" s="76" t="s">
        <v>8</v>
      </c>
      <c r="B39" s="76"/>
      <c r="C39" s="82">
        <v>0</v>
      </c>
      <c r="D39" s="85">
        <f t="shared" si="0"/>
        <v>0.02571428571428571</v>
      </c>
    </row>
    <row r="40" spans="1:4" ht="13.5" thickBot="1">
      <c r="A40" s="76" t="s">
        <v>40</v>
      </c>
      <c r="B40" s="76"/>
      <c r="C40" s="82">
        <v>0</v>
      </c>
      <c r="D40" s="85">
        <f t="shared" si="0"/>
        <v>0.02571428571428571</v>
      </c>
    </row>
    <row r="41" spans="1:4" ht="13.5" thickBot="1">
      <c r="A41" s="76" t="s">
        <v>39</v>
      </c>
      <c r="B41" s="76"/>
      <c r="C41" s="82">
        <v>0</v>
      </c>
      <c r="D41" s="85">
        <f t="shared" si="0"/>
        <v>0.02571428571428571</v>
      </c>
    </row>
    <row r="42" spans="1:4" ht="13.5" thickBot="1">
      <c r="A42" s="76" t="s">
        <v>38</v>
      </c>
      <c r="B42" s="76"/>
      <c r="C42" s="82">
        <v>0</v>
      </c>
      <c r="D42" s="85">
        <f t="shared" si="0"/>
        <v>0.02571428571428571</v>
      </c>
    </row>
    <row r="43" spans="1:4" ht="13.5" thickBot="1">
      <c r="A43" s="76" t="s">
        <v>37</v>
      </c>
      <c r="B43" s="76"/>
      <c r="C43" s="82">
        <v>0</v>
      </c>
      <c r="D43" s="85">
        <f t="shared" si="0"/>
        <v>0.02571428571428571</v>
      </c>
    </row>
    <row r="44" spans="1:4" ht="13.5" thickBot="1">
      <c r="A44" s="76" t="s">
        <v>36</v>
      </c>
      <c r="B44" s="76"/>
      <c r="C44" s="82">
        <v>0</v>
      </c>
      <c r="D44" s="85">
        <f t="shared" si="0"/>
        <v>0.02571428571428571</v>
      </c>
    </row>
    <row r="45" spans="1:4" ht="13.5" thickBot="1">
      <c r="A45" s="76" t="s">
        <v>35</v>
      </c>
      <c r="B45" s="76"/>
      <c r="C45" s="82">
        <v>0</v>
      </c>
      <c r="D45" s="85">
        <f t="shared" si="0"/>
        <v>0.02571428571428571</v>
      </c>
    </row>
    <row r="46" spans="1:4" ht="13.5" thickBot="1">
      <c r="A46" s="76" t="s">
        <v>34</v>
      </c>
      <c r="B46" s="76"/>
      <c r="C46" s="82">
        <v>0</v>
      </c>
      <c r="D46" s="85">
        <f t="shared" si="0"/>
        <v>0.02571428571428571</v>
      </c>
    </row>
    <row r="47" spans="1:4" ht="13.5" thickBot="1">
      <c r="A47" s="76" t="s">
        <v>33</v>
      </c>
      <c r="B47" s="76"/>
      <c r="C47" s="82">
        <v>0</v>
      </c>
      <c r="D47" s="85">
        <f t="shared" si="0"/>
        <v>0.02571428571428571</v>
      </c>
    </row>
    <row r="48" spans="1:4" ht="13.5" thickBot="1">
      <c r="A48" s="76" t="s">
        <v>32</v>
      </c>
      <c r="B48" s="76"/>
      <c r="C48" s="82">
        <v>0</v>
      </c>
      <c r="D48" s="85">
        <f t="shared" si="0"/>
        <v>0.02571428571428571</v>
      </c>
    </row>
    <row r="49" spans="1:4" ht="13.5" thickBot="1">
      <c r="A49" s="76" t="s">
        <v>31</v>
      </c>
      <c r="B49" s="76"/>
      <c r="C49" s="82">
        <v>0</v>
      </c>
      <c r="D49" s="85">
        <f t="shared" si="0"/>
        <v>0.02571428571428571</v>
      </c>
    </row>
    <row r="50" spans="1:4" ht="13.5" thickBot="1">
      <c r="A50" s="76" t="s">
        <v>10</v>
      </c>
      <c r="B50" s="76"/>
      <c r="C50" s="82">
        <v>0</v>
      </c>
      <c r="D50" s="85">
        <f t="shared" si="0"/>
        <v>0.02571428571428571</v>
      </c>
    </row>
  </sheetData>
  <sheetProtection password="868B" sheet="1"/>
  <printOptions/>
  <pageMargins left="0.25" right="0.25" top="0.25" bottom="0.2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AP102"/>
  <sheetViews>
    <sheetView zoomScale="136" zoomScaleNormal="136" zoomScalePageLayoutView="0" workbookViewId="0" topLeftCell="A1">
      <selection activeCell="A14" sqref="A14"/>
    </sheetView>
  </sheetViews>
  <sheetFormatPr defaultColWidth="9.140625" defaultRowHeight="12.75"/>
  <cols>
    <col min="1" max="1" width="12.7109375" style="1" customWidth="1"/>
    <col min="2" max="2" width="14.7109375" style="1" customWidth="1"/>
    <col min="3" max="3" width="7.7109375" style="1" customWidth="1"/>
    <col min="4" max="4" width="9.7109375" style="1" customWidth="1"/>
    <col min="5" max="5" width="10.8515625" style="1" customWidth="1"/>
    <col min="6" max="6" width="11.7109375" style="1" customWidth="1"/>
    <col min="7" max="7" width="13.00390625" style="1" customWidth="1"/>
    <col min="8" max="8" width="4.57421875" style="1" customWidth="1"/>
    <col min="9" max="9" width="15.00390625" style="1" customWidth="1"/>
    <col min="10" max="10" width="7.7109375" style="1" customWidth="1"/>
    <col min="11" max="11" width="10.140625" style="1" customWidth="1"/>
    <col min="12" max="12" width="9.28125" style="1" customWidth="1"/>
    <col min="13" max="16" width="7.7109375" style="1" customWidth="1"/>
    <col min="17" max="18" width="6.421875" style="1" customWidth="1"/>
    <col min="19" max="19" width="19.57421875" style="1" customWidth="1"/>
    <col min="20" max="20" width="8.00390625" style="1" customWidth="1"/>
    <col min="21" max="21" width="9.421875" style="1" customWidth="1"/>
    <col min="22" max="22" width="10.57421875" style="1" customWidth="1"/>
    <col min="23" max="23" width="9.8515625" style="1" customWidth="1"/>
    <col min="24" max="24" width="10.00390625" style="1" customWidth="1"/>
    <col min="25" max="25" width="9.7109375" style="1" customWidth="1"/>
    <col min="26" max="26" width="9.421875" style="1" customWidth="1"/>
    <col min="27" max="27" width="9.57421875" style="1" customWidth="1"/>
    <col min="28" max="28" width="10.28125" style="1" customWidth="1"/>
    <col min="29" max="29" width="9.57421875" style="1" customWidth="1"/>
    <col min="30" max="30" width="10.57421875" style="1" customWidth="1"/>
    <col min="31" max="31" width="10.7109375" style="1" customWidth="1"/>
    <col min="32" max="32" width="10.28125" style="1" customWidth="1"/>
    <col min="33" max="33" width="11.00390625" style="1" customWidth="1"/>
    <col min="34" max="34" width="10.7109375" style="1" customWidth="1"/>
    <col min="35" max="35" width="10.8515625" style="1" customWidth="1"/>
    <col min="36" max="36" width="11.57421875" style="1" customWidth="1"/>
    <col min="37" max="37" width="8.8515625" style="1" customWidth="1"/>
    <col min="38" max="38" width="9.8515625" style="1" bestFit="1" customWidth="1"/>
    <col min="39" max="39" width="9.8515625" style="1" customWidth="1"/>
    <col min="40" max="40" width="8.00390625" style="1" bestFit="1" customWidth="1"/>
    <col min="41" max="41" width="7.421875" style="1" bestFit="1" customWidth="1"/>
    <col min="42" max="16384" width="9.140625" style="1" customWidth="1"/>
  </cols>
  <sheetData>
    <row r="1" spans="1:42" ht="18">
      <c r="A1" s="26" t="s">
        <v>47</v>
      </c>
      <c r="B1" s="36"/>
      <c r="C1" s="36"/>
      <c r="D1" s="36"/>
      <c r="E1" s="36"/>
      <c r="F1" s="36"/>
      <c r="G1" s="36"/>
      <c r="H1" s="36"/>
      <c r="I1" s="36"/>
      <c r="J1" s="36"/>
      <c r="K1" s="36"/>
      <c r="L1" s="36"/>
      <c r="M1" s="36"/>
      <c r="N1" s="36"/>
      <c r="O1" s="36"/>
      <c r="P1" s="43"/>
      <c r="Q1" s="43"/>
      <c r="R1" s="36"/>
      <c r="S1" s="36"/>
      <c r="T1" s="36"/>
      <c r="U1" s="36"/>
      <c r="V1" s="44"/>
      <c r="W1" s="44"/>
      <c r="X1" s="44"/>
      <c r="Y1" s="44"/>
      <c r="Z1" s="44"/>
      <c r="AA1" s="44"/>
      <c r="AB1" s="44"/>
      <c r="AC1" s="8"/>
      <c r="AD1" s="8"/>
      <c r="AE1" s="8"/>
      <c r="AF1" s="8"/>
      <c r="AG1" s="8"/>
      <c r="AH1" s="8"/>
      <c r="AI1" s="8"/>
      <c r="AJ1" s="8"/>
      <c r="AK1" s="8"/>
      <c r="AL1" s="8"/>
      <c r="AM1" s="8"/>
      <c r="AN1" s="6"/>
      <c r="AO1" s="6"/>
      <c r="AP1" s="6"/>
    </row>
    <row r="2" spans="1:42" ht="12.75">
      <c r="A2" s="25" t="s">
        <v>48</v>
      </c>
      <c r="B2" s="38"/>
      <c r="C2" s="38"/>
      <c r="D2" s="38"/>
      <c r="E2" s="38"/>
      <c r="F2" s="38"/>
      <c r="G2" s="38"/>
      <c r="H2" s="38"/>
      <c r="I2" s="38"/>
      <c r="J2" s="38"/>
      <c r="K2" s="38"/>
      <c r="L2" s="38"/>
      <c r="M2" s="38"/>
      <c r="N2" s="38"/>
      <c r="O2" s="38"/>
      <c r="P2" s="38"/>
      <c r="Q2" s="38"/>
      <c r="R2" s="38"/>
      <c r="S2" s="36"/>
      <c r="T2" s="36"/>
      <c r="U2" s="36"/>
      <c r="V2" s="45"/>
      <c r="W2" s="45"/>
      <c r="X2" s="45"/>
      <c r="Y2" s="45"/>
      <c r="Z2" s="45"/>
      <c r="AA2" s="45"/>
      <c r="AB2" s="45"/>
      <c r="AC2" s="7"/>
      <c r="AD2" s="7"/>
      <c r="AE2" s="7"/>
      <c r="AF2" s="7"/>
      <c r="AG2" s="7"/>
      <c r="AH2" s="7"/>
      <c r="AI2" s="7"/>
      <c r="AJ2" s="7"/>
      <c r="AK2" s="7"/>
      <c r="AL2" s="7"/>
      <c r="AM2" s="7"/>
      <c r="AN2" s="7"/>
      <c r="AO2" s="7"/>
      <c r="AP2" s="6"/>
    </row>
    <row r="3" spans="1:42" ht="12">
      <c r="A3" s="38"/>
      <c r="B3" s="38"/>
      <c r="C3" s="38"/>
      <c r="D3" s="38"/>
      <c r="E3" s="38"/>
      <c r="F3" s="38"/>
      <c r="G3" s="38"/>
      <c r="H3" s="38"/>
      <c r="I3" s="38"/>
      <c r="J3" s="38"/>
      <c r="K3" s="38"/>
      <c r="L3" s="38"/>
      <c r="M3" s="38"/>
      <c r="N3" s="38"/>
      <c r="O3" s="38"/>
      <c r="P3" s="38"/>
      <c r="Q3" s="38"/>
      <c r="R3" s="38"/>
      <c r="S3" s="38"/>
      <c r="T3" s="36"/>
      <c r="U3" s="36"/>
      <c r="V3" s="45"/>
      <c r="W3" s="45"/>
      <c r="X3" s="45"/>
      <c r="Y3" s="45"/>
      <c r="Z3" s="45"/>
      <c r="AA3" s="45"/>
      <c r="AB3" s="45"/>
      <c r="AC3" s="7"/>
      <c r="AD3" s="7"/>
      <c r="AE3" s="7"/>
      <c r="AF3" s="7"/>
      <c r="AG3" s="7"/>
      <c r="AH3" s="7"/>
      <c r="AI3" s="7"/>
      <c r="AJ3" s="7"/>
      <c r="AK3" s="7"/>
      <c r="AL3" s="7"/>
      <c r="AM3" s="7"/>
      <c r="AN3" s="7"/>
      <c r="AO3" s="7"/>
      <c r="AP3" s="6"/>
    </row>
    <row r="4" spans="1:42" ht="12">
      <c r="A4" s="38"/>
      <c r="B4" s="38"/>
      <c r="C4" s="38"/>
      <c r="D4" s="38"/>
      <c r="E4" s="38"/>
      <c r="F4" s="38"/>
      <c r="G4" s="38"/>
      <c r="H4" s="38"/>
      <c r="I4" s="38"/>
      <c r="J4" s="38"/>
      <c r="K4" s="38"/>
      <c r="L4" s="38"/>
      <c r="M4" s="38"/>
      <c r="N4" s="38"/>
      <c r="O4" s="38"/>
      <c r="P4" s="38"/>
      <c r="Q4" s="38"/>
      <c r="R4" s="38"/>
      <c r="S4" s="38"/>
      <c r="T4" s="38"/>
      <c r="U4" s="38"/>
      <c r="V4" s="38"/>
      <c r="W4" s="38"/>
      <c r="X4" s="38"/>
      <c r="Y4" s="40"/>
      <c r="Z4" s="40"/>
      <c r="AA4" s="40"/>
      <c r="AB4" s="40"/>
      <c r="AC4" s="10"/>
      <c r="AD4" s="10"/>
      <c r="AE4" s="10"/>
      <c r="AF4" s="7"/>
      <c r="AG4" s="7"/>
      <c r="AH4" s="7"/>
      <c r="AI4" s="7"/>
      <c r="AJ4" s="7"/>
      <c r="AK4" s="7"/>
      <c r="AL4" s="7"/>
      <c r="AM4" s="7"/>
      <c r="AN4" s="7"/>
      <c r="AO4" s="7"/>
      <c r="AP4" s="6"/>
    </row>
    <row r="5" spans="1:42" ht="12">
      <c r="A5" s="27" t="s">
        <v>82</v>
      </c>
      <c r="B5" s="38"/>
      <c r="C5" s="38"/>
      <c r="D5" s="38"/>
      <c r="E5" s="38"/>
      <c r="F5" s="38"/>
      <c r="G5" s="38"/>
      <c r="H5" s="38"/>
      <c r="I5" s="38"/>
      <c r="J5" s="38"/>
      <c r="K5" s="38"/>
      <c r="L5" s="38"/>
      <c r="M5" s="38"/>
      <c r="N5" s="38"/>
      <c r="O5" s="38"/>
      <c r="P5" s="38"/>
      <c r="Q5" s="38"/>
      <c r="R5" s="38"/>
      <c r="S5" s="38"/>
      <c r="T5" s="38"/>
      <c r="U5" s="38"/>
      <c r="V5" s="38"/>
      <c r="W5" s="38"/>
      <c r="X5" s="38"/>
      <c r="Y5" s="36"/>
      <c r="Z5" s="46"/>
      <c r="AA5" s="36"/>
      <c r="AB5" s="46"/>
      <c r="AC5" s="6"/>
      <c r="AD5" s="6"/>
      <c r="AE5" s="6"/>
      <c r="AF5" s="6"/>
      <c r="AG5" s="6"/>
      <c r="AH5" s="6"/>
      <c r="AI5" s="6"/>
      <c r="AJ5" s="6"/>
      <c r="AK5" s="6"/>
      <c r="AL5" s="6"/>
      <c r="AM5" s="6"/>
      <c r="AN5" s="6"/>
      <c r="AO5" s="6"/>
      <c r="AP5" s="6"/>
    </row>
    <row r="6" spans="1:42" ht="12">
      <c r="A6" s="38"/>
      <c r="B6" s="38"/>
      <c r="C6" s="38"/>
      <c r="D6" s="38"/>
      <c r="E6" s="38"/>
      <c r="F6" s="38"/>
      <c r="G6" s="38"/>
      <c r="H6" s="38"/>
      <c r="I6" s="38"/>
      <c r="J6" s="38"/>
      <c r="K6" s="38"/>
      <c r="L6" s="38"/>
      <c r="M6" s="38"/>
      <c r="N6" s="38"/>
      <c r="O6" s="38"/>
      <c r="P6" s="38"/>
      <c r="Q6" s="38"/>
      <c r="R6" s="38"/>
      <c r="S6" s="38"/>
      <c r="T6" s="38"/>
      <c r="U6" s="38"/>
      <c r="V6" s="38"/>
      <c r="W6" s="38"/>
      <c r="X6" s="38"/>
      <c r="Y6" s="36"/>
      <c r="Z6" s="48"/>
      <c r="AA6" s="36"/>
      <c r="AB6" s="36"/>
      <c r="AC6" s="6"/>
      <c r="AD6" s="6"/>
      <c r="AE6" s="6"/>
      <c r="AF6" s="9"/>
      <c r="AG6" s="9"/>
      <c r="AH6" s="9"/>
      <c r="AI6" s="9"/>
      <c r="AJ6" s="9"/>
      <c r="AK6" s="9"/>
      <c r="AL6" s="9"/>
      <c r="AM6" s="9"/>
      <c r="AN6" s="9"/>
      <c r="AO6" s="9"/>
      <c r="AP6" s="6"/>
    </row>
    <row r="7" spans="1:42" ht="16.5" thickBot="1">
      <c r="A7" s="33" t="s">
        <v>49</v>
      </c>
      <c r="B7" s="34"/>
      <c r="C7" s="34"/>
      <c r="D7" s="34"/>
      <c r="E7" s="34"/>
      <c r="F7" s="34"/>
      <c r="G7" s="34"/>
      <c r="H7" s="38"/>
      <c r="I7" s="33" t="s">
        <v>50</v>
      </c>
      <c r="J7" s="34"/>
      <c r="K7" s="34"/>
      <c r="L7" s="34"/>
      <c r="M7" s="35"/>
      <c r="N7" s="38"/>
      <c r="O7" s="38"/>
      <c r="P7" s="38"/>
      <c r="Q7" s="38"/>
      <c r="R7" s="38"/>
      <c r="S7" s="38"/>
      <c r="T7" s="38"/>
      <c r="U7" s="38"/>
      <c r="V7" s="38"/>
      <c r="W7" s="38"/>
      <c r="X7" s="38"/>
      <c r="Y7" s="38"/>
      <c r="Z7" s="48"/>
      <c r="AA7" s="38"/>
      <c r="AB7" s="36"/>
      <c r="AD7" s="6"/>
      <c r="AF7" s="9"/>
      <c r="AG7" s="9"/>
      <c r="AH7" s="9"/>
      <c r="AI7" s="9"/>
      <c r="AJ7" s="9"/>
      <c r="AK7" s="9"/>
      <c r="AL7" s="9"/>
      <c r="AM7" s="9"/>
      <c r="AN7" s="9"/>
      <c r="AO7" s="9"/>
      <c r="AP7" s="6"/>
    </row>
    <row r="8" spans="1:42" ht="12.75" thickBot="1">
      <c r="A8" s="41" t="s">
        <v>52</v>
      </c>
      <c r="B8" s="41"/>
      <c r="C8" s="41"/>
      <c r="D8" s="41"/>
      <c r="E8" s="128" t="s">
        <v>84</v>
      </c>
      <c r="F8" s="128"/>
      <c r="G8" s="128"/>
      <c r="H8" s="38"/>
      <c r="I8" s="41" t="s">
        <v>3</v>
      </c>
      <c r="J8" s="41"/>
      <c r="K8" s="41"/>
      <c r="L8" s="116">
        <v>0.045</v>
      </c>
      <c r="M8" s="38"/>
      <c r="N8" s="38"/>
      <c r="O8" s="38"/>
      <c r="P8" s="38"/>
      <c r="Q8" s="38"/>
      <c r="R8" s="38"/>
      <c r="S8" s="38"/>
      <c r="T8" s="38"/>
      <c r="U8" s="38"/>
      <c r="V8" s="38"/>
      <c r="W8" s="38"/>
      <c r="X8" s="38"/>
      <c r="Y8" s="38"/>
      <c r="Z8" s="48"/>
      <c r="AA8" s="38"/>
      <c r="AB8" s="36"/>
      <c r="AD8" s="6"/>
      <c r="AF8" s="6"/>
      <c r="AG8" s="6"/>
      <c r="AH8" s="6"/>
      <c r="AI8" s="6"/>
      <c r="AJ8" s="6"/>
      <c r="AK8" s="6"/>
      <c r="AL8" s="6"/>
      <c r="AM8" s="6"/>
      <c r="AN8" s="6"/>
      <c r="AO8" s="6"/>
      <c r="AP8" s="6"/>
    </row>
    <row r="9" spans="1:42" ht="12.75" thickBot="1">
      <c r="A9" s="41" t="s">
        <v>53</v>
      </c>
      <c r="B9" s="41"/>
      <c r="C9" s="41"/>
      <c r="D9" s="53"/>
      <c r="E9" s="53"/>
      <c r="F9" s="53"/>
      <c r="G9" s="114">
        <v>0.025</v>
      </c>
      <c r="H9" s="38"/>
      <c r="I9" s="41" t="s">
        <v>42</v>
      </c>
      <c r="J9" s="41"/>
      <c r="K9" s="41"/>
      <c r="L9" s="116">
        <v>0.02</v>
      </c>
      <c r="M9" s="38"/>
      <c r="N9" s="38"/>
      <c r="O9" s="38"/>
      <c r="P9" s="38"/>
      <c r="Q9" s="38"/>
      <c r="R9" s="38"/>
      <c r="S9" s="38"/>
      <c r="T9" s="38"/>
      <c r="U9" s="38"/>
      <c r="V9" s="38"/>
      <c r="W9" s="38"/>
      <c r="X9" s="38"/>
      <c r="Y9" s="38"/>
      <c r="Z9" s="48"/>
      <c r="AA9" s="38"/>
      <c r="AB9" s="36"/>
      <c r="AD9" s="6"/>
      <c r="AF9" s="9"/>
      <c r="AG9" s="9"/>
      <c r="AH9" s="9"/>
      <c r="AI9" s="9"/>
      <c r="AJ9" s="9"/>
      <c r="AK9" s="9"/>
      <c r="AL9" s="9"/>
      <c r="AM9" s="9"/>
      <c r="AN9" s="9"/>
      <c r="AO9" s="9"/>
      <c r="AP9" s="6"/>
    </row>
    <row r="10" spans="1:42" ht="12.75" thickBot="1">
      <c r="A10" s="41" t="s">
        <v>44</v>
      </c>
      <c r="B10" s="41"/>
      <c r="C10" s="41"/>
      <c r="D10" s="53"/>
      <c r="E10" s="53"/>
      <c r="F10" s="53"/>
      <c r="G10" s="116">
        <v>0.203</v>
      </c>
      <c r="H10" s="38"/>
      <c r="I10" s="38"/>
      <c r="J10" s="38"/>
      <c r="K10" s="38"/>
      <c r="L10" s="38"/>
      <c r="M10" s="38"/>
      <c r="N10" s="38"/>
      <c r="O10" s="38"/>
      <c r="P10" s="38"/>
      <c r="Q10" s="38"/>
      <c r="R10" s="38"/>
      <c r="S10" s="38"/>
      <c r="T10" s="38"/>
      <c r="U10" s="38"/>
      <c r="V10" s="38"/>
      <c r="W10" s="38"/>
      <c r="X10" s="38"/>
      <c r="Y10" s="38"/>
      <c r="Z10" s="48"/>
      <c r="AA10" s="38"/>
      <c r="AB10" s="36"/>
      <c r="AD10" s="6"/>
      <c r="AF10" s="6"/>
      <c r="AG10" s="6"/>
      <c r="AH10" s="6"/>
      <c r="AI10" s="6"/>
      <c r="AJ10" s="6"/>
      <c r="AK10" s="6"/>
      <c r="AL10" s="6"/>
      <c r="AM10" s="6"/>
      <c r="AN10" s="6"/>
      <c r="AO10" s="6"/>
      <c r="AP10" s="6"/>
    </row>
    <row r="11" spans="1:42" ht="12.75" thickBot="1">
      <c r="A11" s="124" t="s">
        <v>43</v>
      </c>
      <c r="B11" s="54"/>
      <c r="C11" s="54"/>
      <c r="D11" s="55"/>
      <c r="E11" s="55"/>
      <c r="F11" s="55"/>
      <c r="G11" s="127">
        <v>12953</v>
      </c>
      <c r="H11" s="38"/>
      <c r="I11" s="38"/>
      <c r="J11" s="38"/>
      <c r="K11" s="122" t="s">
        <v>55</v>
      </c>
      <c r="L11" s="62" t="s">
        <v>51</v>
      </c>
      <c r="M11" s="63"/>
      <c r="N11" s="38"/>
      <c r="O11" s="38"/>
      <c r="P11" s="38"/>
      <c r="Q11" s="38"/>
      <c r="R11" s="38"/>
      <c r="S11" s="38"/>
      <c r="T11" s="38"/>
      <c r="U11" s="38"/>
      <c r="V11" s="38"/>
      <c r="W11" s="38"/>
      <c r="X11" s="38"/>
      <c r="Y11" s="38"/>
      <c r="Z11" s="49"/>
      <c r="AA11" s="38"/>
      <c r="AB11" s="27"/>
      <c r="AD11" s="12"/>
      <c r="AF11" s="9"/>
      <c r="AG11" s="9"/>
      <c r="AH11" s="9"/>
      <c r="AI11" s="9"/>
      <c r="AJ11" s="9"/>
      <c r="AK11" s="9"/>
      <c r="AL11" s="9"/>
      <c r="AM11" s="9"/>
      <c r="AN11" s="9"/>
      <c r="AO11" s="9"/>
      <c r="AP11" s="6"/>
    </row>
    <row r="12" spans="1:42" ht="12.75" thickBot="1">
      <c r="A12" s="41" t="s">
        <v>74</v>
      </c>
      <c r="B12" s="41"/>
      <c r="C12" s="41"/>
      <c r="D12" s="53"/>
      <c r="E12" s="53"/>
      <c r="F12" s="53"/>
      <c r="G12" s="115">
        <v>15258</v>
      </c>
      <c r="H12" s="38"/>
      <c r="I12" s="38"/>
      <c r="J12" s="38"/>
      <c r="K12" s="122" t="s">
        <v>11</v>
      </c>
      <c r="L12" s="62" t="s">
        <v>11</v>
      </c>
      <c r="M12" s="63"/>
      <c r="N12" s="38"/>
      <c r="O12" s="38"/>
      <c r="P12" s="38"/>
      <c r="Q12" s="38"/>
      <c r="R12" s="38"/>
      <c r="S12" s="38"/>
      <c r="T12" s="38"/>
      <c r="U12" s="38"/>
      <c r="V12" s="38"/>
      <c r="W12" s="38"/>
      <c r="X12" s="38"/>
      <c r="Y12" s="39"/>
      <c r="Z12" s="39"/>
      <c r="AA12" s="39"/>
      <c r="AB12" s="39"/>
      <c r="AC12" s="9"/>
      <c r="AD12" s="9"/>
      <c r="AE12" s="9"/>
      <c r="AF12" s="9"/>
      <c r="AG12" s="9"/>
      <c r="AH12" s="9"/>
      <c r="AI12" s="9"/>
      <c r="AJ12" s="9"/>
      <c r="AK12" s="9"/>
      <c r="AL12" s="9"/>
      <c r="AM12" s="9"/>
      <c r="AN12" s="9"/>
      <c r="AO12" s="9"/>
      <c r="AP12" s="6"/>
    </row>
    <row r="13" spans="1:42" ht="12.75" thickBot="1">
      <c r="A13" s="41" t="s">
        <v>73</v>
      </c>
      <c r="B13" s="41"/>
      <c r="C13" s="41"/>
      <c r="D13" s="53"/>
      <c r="E13" s="53"/>
      <c r="F13" s="53"/>
      <c r="G13" s="125">
        <v>46586.5</v>
      </c>
      <c r="H13" s="37"/>
      <c r="I13" s="41" t="s">
        <v>4</v>
      </c>
      <c r="J13" s="41"/>
      <c r="K13" s="121">
        <v>0.0019</v>
      </c>
      <c r="L13" s="72">
        <f aca="true" t="shared" si="0" ref="L13:L28">K13+($L$8*$G$28)+$L$9</f>
        <v>0.0695646213028785</v>
      </c>
      <c r="M13" s="64"/>
      <c r="N13" s="37"/>
      <c r="O13" s="37"/>
      <c r="P13" s="37"/>
      <c r="Q13" s="37"/>
      <c r="R13" s="38"/>
      <c r="S13" s="36"/>
      <c r="T13" s="36"/>
      <c r="U13" s="36"/>
      <c r="V13" s="36"/>
      <c r="W13" s="36"/>
      <c r="X13" s="36"/>
      <c r="Y13" s="36"/>
      <c r="Z13" s="36"/>
      <c r="AA13" s="36"/>
      <c r="AB13" s="36"/>
      <c r="AC13" s="6"/>
      <c r="AD13" s="6"/>
      <c r="AE13" s="6"/>
      <c r="AF13" s="6"/>
      <c r="AG13" s="6"/>
      <c r="AH13" s="6"/>
      <c r="AI13" s="6"/>
      <c r="AJ13" s="6"/>
      <c r="AK13" s="6"/>
      <c r="AL13" s="6"/>
      <c r="AM13" s="6"/>
      <c r="AN13" s="6"/>
      <c r="AO13" s="6"/>
      <c r="AP13" s="6"/>
    </row>
    <row r="14" spans="1:42" ht="12.75" thickBot="1">
      <c r="A14" s="41" t="s">
        <v>45</v>
      </c>
      <c r="B14" s="41"/>
      <c r="C14" s="41"/>
      <c r="D14" s="53"/>
      <c r="E14" s="53"/>
      <c r="F14" s="53"/>
      <c r="G14" s="117">
        <v>2080</v>
      </c>
      <c r="H14" s="37"/>
      <c r="I14" s="41" t="s">
        <v>5</v>
      </c>
      <c r="J14" s="41"/>
      <c r="K14" s="121">
        <v>0.0029</v>
      </c>
      <c r="L14" s="72">
        <f t="shared" si="0"/>
        <v>0.0705646213028785</v>
      </c>
      <c r="M14" s="64"/>
      <c r="N14" s="37"/>
      <c r="O14" s="37"/>
      <c r="P14" s="37"/>
      <c r="Q14" s="37"/>
      <c r="R14" s="38"/>
      <c r="S14" s="38"/>
      <c r="T14" s="36"/>
      <c r="U14" s="36"/>
      <c r="V14" s="36"/>
      <c r="W14" s="36"/>
      <c r="X14" s="36"/>
      <c r="Y14" s="36"/>
      <c r="Z14" s="36"/>
      <c r="AA14" s="36"/>
      <c r="AB14" s="36"/>
      <c r="AC14" s="6"/>
      <c r="AD14" s="6"/>
      <c r="AE14" s="6"/>
      <c r="AF14" s="6"/>
      <c r="AG14" s="6"/>
      <c r="AH14" s="6"/>
      <c r="AI14" s="6"/>
      <c r="AJ14" s="6"/>
      <c r="AK14" s="6"/>
      <c r="AL14" s="6"/>
      <c r="AM14" s="6"/>
      <c r="AN14" s="6"/>
      <c r="AO14" s="6"/>
      <c r="AP14" s="6"/>
    </row>
    <row r="15" spans="1:42" ht="12.75" customHeight="1" thickBot="1">
      <c r="A15" s="41" t="s">
        <v>76</v>
      </c>
      <c r="B15" s="41"/>
      <c r="C15" s="41"/>
      <c r="D15" s="53"/>
      <c r="E15" s="53"/>
      <c r="F15" s="53"/>
      <c r="G15" s="115">
        <v>4710.88</v>
      </c>
      <c r="H15" s="37"/>
      <c r="I15" s="41" t="s">
        <v>6</v>
      </c>
      <c r="J15" s="41"/>
      <c r="K15" s="121">
        <v>0.0039</v>
      </c>
      <c r="L15" s="72">
        <f t="shared" si="0"/>
        <v>0.0715646213028785</v>
      </c>
      <c r="M15" s="64"/>
      <c r="N15" s="37"/>
      <c r="O15" s="37"/>
      <c r="P15" s="37"/>
      <c r="Q15" s="37"/>
      <c r="R15" s="38"/>
      <c r="S15" s="38"/>
      <c r="T15" s="36"/>
      <c r="U15" s="36"/>
      <c r="V15" s="36"/>
      <c r="W15" s="39"/>
      <c r="X15" s="36"/>
      <c r="Y15" s="36"/>
      <c r="Z15" s="36"/>
      <c r="AA15" s="36"/>
      <c r="AB15" s="36"/>
      <c r="AC15" s="6"/>
      <c r="AD15" s="6"/>
      <c r="AE15" s="6"/>
      <c r="AF15" s="6"/>
      <c r="AG15" s="6"/>
      <c r="AH15" s="6"/>
      <c r="AI15" s="6"/>
      <c r="AJ15" s="6"/>
      <c r="AK15" s="6"/>
      <c r="AL15" s="6"/>
      <c r="AM15" s="6"/>
      <c r="AN15" s="6"/>
      <c r="AO15" s="6"/>
      <c r="AP15" s="6"/>
    </row>
    <row r="16" spans="1:42" ht="12.75" thickBot="1">
      <c r="A16" s="41" t="s">
        <v>54</v>
      </c>
      <c r="B16" s="41"/>
      <c r="C16" s="41"/>
      <c r="D16" s="53"/>
      <c r="E16" s="53"/>
      <c r="F16" s="53"/>
      <c r="G16" s="114">
        <v>0.085</v>
      </c>
      <c r="H16" s="38"/>
      <c r="I16" s="41" t="s">
        <v>7</v>
      </c>
      <c r="J16" s="41"/>
      <c r="K16" s="121">
        <v>0.0061</v>
      </c>
      <c r="L16" s="72">
        <f t="shared" si="0"/>
        <v>0.0737646213028785</v>
      </c>
      <c r="M16" s="61"/>
      <c r="N16" s="40"/>
      <c r="O16" s="37"/>
      <c r="P16" s="37"/>
      <c r="Q16" s="37"/>
      <c r="R16" s="36"/>
      <c r="S16" s="36"/>
      <c r="T16" s="36"/>
      <c r="U16" s="36"/>
      <c r="V16" s="36"/>
      <c r="W16" s="39"/>
      <c r="X16" s="36"/>
      <c r="Y16" s="36"/>
      <c r="Z16" s="36"/>
      <c r="AA16" s="36"/>
      <c r="AB16" s="36"/>
      <c r="AC16" s="6"/>
      <c r="AD16" s="6"/>
      <c r="AE16" s="6"/>
      <c r="AF16" s="6"/>
      <c r="AG16" s="6"/>
      <c r="AH16" s="6"/>
      <c r="AI16" s="6"/>
      <c r="AJ16" s="6"/>
      <c r="AK16" s="6"/>
      <c r="AL16" s="6"/>
      <c r="AM16" s="6"/>
      <c r="AN16" s="6"/>
      <c r="AO16" s="6"/>
      <c r="AP16" s="6"/>
    </row>
    <row r="17" spans="1:42" ht="12.75" thickBot="1">
      <c r="A17" s="38"/>
      <c r="B17" s="38"/>
      <c r="C17" s="38"/>
      <c r="D17" s="38"/>
      <c r="E17" s="38"/>
      <c r="F17" s="38"/>
      <c r="G17" s="38"/>
      <c r="H17" s="38"/>
      <c r="I17" s="41" t="s">
        <v>8</v>
      </c>
      <c r="J17" s="41"/>
      <c r="K17" s="121">
        <v>0.0091</v>
      </c>
      <c r="L17" s="72">
        <f t="shared" si="0"/>
        <v>0.0767646213028785</v>
      </c>
      <c r="M17" s="65"/>
      <c r="N17" s="36"/>
      <c r="O17" s="36"/>
      <c r="P17" s="36"/>
      <c r="Q17" s="36"/>
      <c r="R17" s="36"/>
      <c r="S17" s="36"/>
      <c r="T17" s="36"/>
      <c r="U17" s="36"/>
      <c r="V17" s="36"/>
      <c r="W17" s="39"/>
      <c r="X17" s="36"/>
      <c r="Y17" s="36"/>
      <c r="Z17" s="36"/>
      <c r="AA17" s="36"/>
      <c r="AB17" s="36"/>
      <c r="AC17" s="6"/>
      <c r="AD17" s="6"/>
      <c r="AE17" s="6"/>
      <c r="AF17" s="6"/>
      <c r="AG17" s="6"/>
      <c r="AH17" s="6"/>
      <c r="AI17" s="6"/>
      <c r="AJ17" s="6"/>
      <c r="AK17" s="6"/>
      <c r="AL17" s="6"/>
      <c r="AM17" s="6"/>
      <c r="AN17" s="6"/>
      <c r="AO17" s="6"/>
      <c r="AP17" s="6"/>
    </row>
    <row r="18" spans="1:28" ht="12.75" thickBot="1">
      <c r="A18" s="38"/>
      <c r="B18" s="38"/>
      <c r="C18" s="38"/>
      <c r="D18" s="38"/>
      <c r="E18" s="38"/>
      <c r="F18" s="38"/>
      <c r="G18" s="38"/>
      <c r="H18" s="38"/>
      <c r="I18" s="41" t="s">
        <v>40</v>
      </c>
      <c r="J18" s="41"/>
      <c r="K18" s="121">
        <v>0.0114</v>
      </c>
      <c r="L18" s="72">
        <f t="shared" si="0"/>
        <v>0.0790646213028785</v>
      </c>
      <c r="M18" s="65"/>
      <c r="N18" s="36"/>
      <c r="O18" s="36"/>
      <c r="P18" s="36"/>
      <c r="Q18" s="36"/>
      <c r="R18" s="36"/>
      <c r="S18" s="36"/>
      <c r="T18" s="36"/>
      <c r="U18" s="36"/>
      <c r="V18" s="38"/>
      <c r="W18" s="38"/>
      <c r="X18" s="38"/>
      <c r="Y18" s="38"/>
      <c r="Z18" s="38"/>
      <c r="AA18" s="38"/>
      <c r="AB18" s="38"/>
    </row>
    <row r="19" spans="1:28" ht="20.25" thickBot="1">
      <c r="A19" s="33" t="s">
        <v>79</v>
      </c>
      <c r="B19" s="34"/>
      <c r="C19" s="34"/>
      <c r="D19" s="34"/>
      <c r="E19" s="34"/>
      <c r="F19" s="34"/>
      <c r="G19" s="34"/>
      <c r="H19" s="38"/>
      <c r="I19" s="41" t="s">
        <v>39</v>
      </c>
      <c r="J19" s="41"/>
      <c r="K19" s="121">
        <v>0.0136</v>
      </c>
      <c r="L19" s="72">
        <f t="shared" si="0"/>
        <v>0.0812646213028785</v>
      </c>
      <c r="M19" s="65"/>
      <c r="N19" s="36"/>
      <c r="O19" s="36"/>
      <c r="P19" s="36"/>
      <c r="Q19" s="36"/>
      <c r="R19" s="36"/>
      <c r="S19" s="36"/>
      <c r="T19" s="36"/>
      <c r="U19" s="36"/>
      <c r="V19" s="38"/>
      <c r="W19" s="38"/>
      <c r="X19" s="38"/>
      <c r="Y19" s="38"/>
      <c r="Z19" s="38"/>
      <c r="AA19" s="38"/>
      <c r="AB19" s="38"/>
    </row>
    <row r="20" spans="1:28" ht="12.75" thickBot="1">
      <c r="A20" s="38"/>
      <c r="B20" s="38"/>
      <c r="C20" s="38"/>
      <c r="D20" s="38"/>
      <c r="E20" s="75" t="s">
        <v>62</v>
      </c>
      <c r="F20" s="38"/>
      <c r="G20" s="38"/>
      <c r="H20" s="38"/>
      <c r="I20" s="41" t="s">
        <v>38</v>
      </c>
      <c r="J20" s="41"/>
      <c r="K20" s="121">
        <v>0.0157</v>
      </c>
      <c r="L20" s="72">
        <f t="shared" si="0"/>
        <v>0.0833646213028785</v>
      </c>
      <c r="M20" s="65"/>
      <c r="N20" s="36"/>
      <c r="O20" s="36"/>
      <c r="P20" s="36"/>
      <c r="Q20" s="36"/>
      <c r="R20" s="36"/>
      <c r="S20" s="36"/>
      <c r="T20" s="36"/>
      <c r="U20" s="36"/>
      <c r="V20" s="38"/>
      <c r="W20" s="38"/>
      <c r="X20" s="38"/>
      <c r="Y20" s="38"/>
      <c r="Z20" s="38"/>
      <c r="AA20" s="38"/>
      <c r="AB20" s="38"/>
    </row>
    <row r="21" spans="1:28" ht="12.75" customHeight="1" thickBot="1">
      <c r="A21" s="27" t="s">
        <v>0</v>
      </c>
      <c r="B21" s="27"/>
      <c r="C21" s="46" t="s">
        <v>56</v>
      </c>
      <c r="D21" s="46" t="s">
        <v>1</v>
      </c>
      <c r="E21" s="46" t="s">
        <v>57</v>
      </c>
      <c r="F21" s="46" t="s">
        <v>2</v>
      </c>
      <c r="G21" s="67" t="s">
        <v>58</v>
      </c>
      <c r="H21" s="38"/>
      <c r="I21" s="41" t="s">
        <v>37</v>
      </c>
      <c r="J21" s="41"/>
      <c r="K21" s="121">
        <v>0.0182</v>
      </c>
      <c r="L21" s="72">
        <f t="shared" si="0"/>
        <v>0.0858646213028785</v>
      </c>
      <c r="M21" s="65"/>
      <c r="N21" s="36"/>
      <c r="O21" s="36"/>
      <c r="P21" s="36"/>
      <c r="Q21" s="36"/>
      <c r="R21" s="36"/>
      <c r="S21" s="36"/>
      <c r="T21" s="36"/>
      <c r="U21" s="36"/>
      <c r="V21" s="38"/>
      <c r="W21" s="38"/>
      <c r="X21" s="38"/>
      <c r="Y21" s="38"/>
      <c r="Z21" s="38"/>
      <c r="AA21" s="38"/>
      <c r="AB21" s="38"/>
    </row>
    <row r="22" spans="1:28" ht="12.75" customHeight="1" thickBot="1">
      <c r="A22" s="118" t="s">
        <v>85</v>
      </c>
      <c r="B22" s="118"/>
      <c r="C22" s="119">
        <v>0.85</v>
      </c>
      <c r="D22" s="120">
        <v>21846</v>
      </c>
      <c r="E22" s="120">
        <v>203134.7</v>
      </c>
      <c r="F22" s="121">
        <v>0.2479</v>
      </c>
      <c r="G22" s="68">
        <f>C22/(1+(1-F22)*(D22/E22))</f>
        <v>0.7863932537621058</v>
      </c>
      <c r="H22" s="38"/>
      <c r="I22" s="41" t="s">
        <v>36</v>
      </c>
      <c r="J22" s="41"/>
      <c r="K22" s="121">
        <v>0.0197</v>
      </c>
      <c r="L22" s="72">
        <f t="shared" si="0"/>
        <v>0.0873646213028785</v>
      </c>
      <c r="M22" s="65"/>
      <c r="N22" s="36"/>
      <c r="O22" s="36"/>
      <c r="P22" s="36"/>
      <c r="Q22" s="36"/>
      <c r="R22" s="36"/>
      <c r="S22" s="36"/>
      <c r="T22" s="36"/>
      <c r="U22" s="36"/>
      <c r="V22" s="38"/>
      <c r="W22" s="38"/>
      <c r="X22" s="38"/>
      <c r="Y22" s="38"/>
      <c r="Z22" s="38"/>
      <c r="AA22" s="38"/>
      <c r="AB22" s="38"/>
    </row>
    <row r="23" spans="1:28" ht="12.75" thickBot="1">
      <c r="A23" s="118" t="s">
        <v>86</v>
      </c>
      <c r="B23" s="118"/>
      <c r="C23" s="119">
        <v>0.95</v>
      </c>
      <c r="D23" s="120">
        <v>14772</v>
      </c>
      <c r="E23" s="120">
        <v>146718.6</v>
      </c>
      <c r="F23" s="121">
        <v>0.2534</v>
      </c>
      <c r="G23" s="68">
        <f>C23/(1+(1-F23)*(D23/E23))</f>
        <v>0.8835815481765302</v>
      </c>
      <c r="H23" s="38"/>
      <c r="I23" s="41" t="s">
        <v>35</v>
      </c>
      <c r="J23" s="41"/>
      <c r="K23" s="121">
        <v>0.0207</v>
      </c>
      <c r="L23" s="72">
        <f t="shared" si="0"/>
        <v>0.0883646213028785</v>
      </c>
      <c r="M23" s="65"/>
      <c r="N23" s="36"/>
      <c r="O23" s="36"/>
      <c r="P23" s="36"/>
      <c r="Q23" s="36"/>
      <c r="R23" s="36"/>
      <c r="S23" s="36"/>
      <c r="T23" s="36"/>
      <c r="U23" s="36"/>
      <c r="V23" s="38"/>
      <c r="W23" s="38"/>
      <c r="X23" s="38"/>
      <c r="Y23" s="38"/>
      <c r="Z23" s="38"/>
      <c r="AA23" s="38"/>
      <c r="AB23" s="38"/>
    </row>
    <row r="24" spans="1:28" ht="12.75" thickBot="1">
      <c r="A24" s="118" t="s">
        <v>84</v>
      </c>
      <c r="B24" s="118"/>
      <c r="C24" s="119">
        <v>0.95</v>
      </c>
      <c r="D24" s="120">
        <v>15258</v>
      </c>
      <c r="E24" s="120">
        <v>46586.5</v>
      </c>
      <c r="F24" s="121">
        <v>0.2017</v>
      </c>
      <c r="G24" s="68">
        <f>C24/(1+(1-F24)*(D24/E24))</f>
        <v>0.7530961946247573</v>
      </c>
      <c r="H24" s="38"/>
      <c r="I24" s="41" t="s">
        <v>34</v>
      </c>
      <c r="J24" s="41"/>
      <c r="K24" s="121">
        <v>0.0223</v>
      </c>
      <c r="L24" s="72">
        <f t="shared" si="0"/>
        <v>0.08996462130287851</v>
      </c>
      <c r="M24" s="66"/>
      <c r="N24" s="39"/>
      <c r="O24" s="36"/>
      <c r="P24" s="36"/>
      <c r="Q24" s="36"/>
      <c r="R24" s="36"/>
      <c r="S24" s="36"/>
      <c r="T24" s="36"/>
      <c r="U24" s="36"/>
      <c r="V24" s="38"/>
      <c r="W24" s="38"/>
      <c r="X24" s="38"/>
      <c r="Y24" s="38"/>
      <c r="Z24" s="38"/>
      <c r="AA24" s="38"/>
      <c r="AB24" s="38"/>
    </row>
    <row r="25" spans="1:28" ht="12.75" thickBot="1">
      <c r="A25" s="118" t="s">
        <v>87</v>
      </c>
      <c r="B25" s="118"/>
      <c r="C25" s="119">
        <v>0.95</v>
      </c>
      <c r="D25" s="120">
        <v>235.2</v>
      </c>
      <c r="E25" s="120">
        <v>46853.6</v>
      </c>
      <c r="F25" s="121">
        <v>0.2448</v>
      </c>
      <c r="G25" s="68">
        <f>C25/(1+(1-F25)*(D25/E25))</f>
        <v>0.946412130557258</v>
      </c>
      <c r="H25" s="38"/>
      <c r="I25" s="41" t="s">
        <v>33</v>
      </c>
      <c r="J25" s="41"/>
      <c r="K25" s="121">
        <v>0.0241</v>
      </c>
      <c r="L25" s="72">
        <f t="shared" si="0"/>
        <v>0.0917646213028785</v>
      </c>
      <c r="M25" s="65"/>
      <c r="N25" s="36"/>
      <c r="O25" s="36"/>
      <c r="P25" s="36"/>
      <c r="Q25" s="36"/>
      <c r="R25" s="36"/>
      <c r="S25" s="36"/>
      <c r="T25" s="36"/>
      <c r="U25" s="36"/>
      <c r="V25" s="38"/>
      <c r="W25" s="38"/>
      <c r="X25" s="38"/>
      <c r="Y25" s="38"/>
      <c r="Z25" s="38"/>
      <c r="AA25" s="38"/>
      <c r="AB25" s="38"/>
    </row>
    <row r="26" spans="1:28" ht="12.75" thickBot="1">
      <c r="A26" s="118" t="s">
        <v>88</v>
      </c>
      <c r="B26" s="118"/>
      <c r="C26" s="119">
        <v>0.95</v>
      </c>
      <c r="D26" s="120">
        <v>5146</v>
      </c>
      <c r="E26" s="120">
        <v>28078.5</v>
      </c>
      <c r="F26" s="121">
        <v>0.2134</v>
      </c>
      <c r="G26" s="68">
        <f>C26/(1+(1-F26)*(D26/E26))</f>
        <v>0.8303022383163455</v>
      </c>
      <c r="H26" s="38"/>
      <c r="I26" s="41" t="s">
        <v>32</v>
      </c>
      <c r="J26" s="41"/>
      <c r="K26" s="121">
        <v>0.025</v>
      </c>
      <c r="L26" s="72">
        <f t="shared" si="0"/>
        <v>0.0926646213028785</v>
      </c>
      <c r="M26" s="63"/>
      <c r="N26" s="38"/>
      <c r="O26" s="38"/>
      <c r="P26" s="38"/>
      <c r="Q26" s="38"/>
      <c r="R26" s="38"/>
      <c r="S26" s="36"/>
      <c r="T26" s="38"/>
      <c r="U26" s="38"/>
      <c r="V26" s="38"/>
      <c r="W26" s="38"/>
      <c r="X26" s="38"/>
      <c r="Y26" s="38"/>
      <c r="Z26" s="38"/>
      <c r="AA26" s="38"/>
      <c r="AB26" s="38"/>
    </row>
    <row r="27" spans="1:28" ht="12.75" thickBot="1">
      <c r="A27" s="55" t="s">
        <v>9</v>
      </c>
      <c r="B27" s="55"/>
      <c r="C27" s="68"/>
      <c r="D27" s="69"/>
      <c r="E27" s="70"/>
      <c r="F27" s="71">
        <f>AVERAGE(F22:F26)</f>
        <v>0.23224</v>
      </c>
      <c r="G27" s="123">
        <f>AVERAGE(G22:G26)</f>
        <v>0.8399570730873993</v>
      </c>
      <c r="H27" s="38"/>
      <c r="I27" s="41" t="s">
        <v>31</v>
      </c>
      <c r="J27" s="41"/>
      <c r="K27" s="121">
        <v>0.0265</v>
      </c>
      <c r="L27" s="72">
        <f t="shared" si="0"/>
        <v>0.0941646213028785</v>
      </c>
      <c r="M27" s="63"/>
      <c r="N27" s="38"/>
      <c r="O27" s="38"/>
      <c r="P27" s="38"/>
      <c r="Q27" s="38"/>
      <c r="R27" s="38"/>
      <c r="S27" s="36"/>
      <c r="T27" s="38"/>
      <c r="U27" s="38"/>
      <c r="V27" s="38"/>
      <c r="W27" s="38"/>
      <c r="X27" s="38"/>
      <c r="Y27" s="38"/>
      <c r="Z27" s="38"/>
      <c r="AA27" s="38"/>
      <c r="AB27" s="38"/>
    </row>
    <row r="28" spans="1:28" ht="13.5" customHeight="1" thickBot="1">
      <c r="A28" s="55" t="s">
        <v>75</v>
      </c>
      <c r="B28" s="55"/>
      <c r="C28" s="68"/>
      <c r="D28" s="69"/>
      <c r="E28" s="70"/>
      <c r="F28" s="71"/>
      <c r="G28" s="68">
        <f>G27*(1+(1-G10)*(G12/G13))</f>
        <v>1.0592138067306334</v>
      </c>
      <c r="H28" s="38"/>
      <c r="I28" s="41" t="s">
        <v>10</v>
      </c>
      <c r="J28" s="41"/>
      <c r="K28" s="121">
        <v>0.0312</v>
      </c>
      <c r="L28" s="72">
        <f t="shared" si="0"/>
        <v>0.0988646213028785</v>
      </c>
      <c r="M28" s="63"/>
      <c r="N28" s="38"/>
      <c r="O28" s="38"/>
      <c r="P28" s="38"/>
      <c r="Q28" s="38"/>
      <c r="R28" s="38"/>
      <c r="S28" s="38"/>
      <c r="T28" s="38"/>
      <c r="U28" s="38"/>
      <c r="V28" s="38"/>
      <c r="W28" s="38"/>
      <c r="X28" s="38"/>
      <c r="Y28" s="38"/>
      <c r="Z28" s="38"/>
      <c r="AA28" s="38"/>
      <c r="AB28" s="38"/>
    </row>
    <row r="29" spans="1:28" ht="12">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row>
    <row r="30" spans="1:28" ht="12.75">
      <c r="A30" s="36"/>
      <c r="B30" s="36"/>
      <c r="C30" s="36"/>
      <c r="D30" s="16"/>
      <c r="E30" s="16"/>
      <c r="F30" s="36"/>
      <c r="G30" s="36"/>
      <c r="H30" s="36"/>
      <c r="I30" s="36"/>
      <c r="J30" s="36"/>
      <c r="K30" s="36"/>
      <c r="L30" s="36"/>
      <c r="M30" s="36"/>
      <c r="N30" s="38"/>
      <c r="O30" s="38"/>
      <c r="P30" s="38"/>
      <c r="Q30" s="38"/>
      <c r="R30" s="38"/>
      <c r="S30" s="38"/>
      <c r="T30" s="38"/>
      <c r="U30" s="38"/>
      <c r="V30" s="38"/>
      <c r="W30" s="38"/>
      <c r="X30" s="38"/>
      <c r="Y30" s="38"/>
      <c r="Z30" s="38"/>
      <c r="AA30" s="38"/>
      <c r="AB30" s="38"/>
    </row>
    <row r="31" spans="1:28" ht="12.75">
      <c r="A31" s="36"/>
      <c r="B31" s="36"/>
      <c r="C31" s="36"/>
      <c r="D31" s="16"/>
      <c r="E31" s="16"/>
      <c r="F31" s="36"/>
      <c r="G31" s="36"/>
      <c r="H31" s="36"/>
      <c r="I31" s="36"/>
      <c r="J31" s="36"/>
      <c r="K31" s="36"/>
      <c r="L31" s="36"/>
      <c r="M31" s="36"/>
      <c r="N31" s="38"/>
      <c r="O31" s="38"/>
      <c r="P31" s="38"/>
      <c r="Q31" s="38"/>
      <c r="R31" s="38"/>
      <c r="S31" s="38"/>
      <c r="T31" s="38"/>
      <c r="U31" s="38"/>
      <c r="V31" s="38"/>
      <c r="W31" s="38"/>
      <c r="X31" s="38"/>
      <c r="Y31" s="38"/>
      <c r="Z31" s="38"/>
      <c r="AA31" s="38"/>
      <c r="AB31" s="38"/>
    </row>
    <row r="32" spans="1:28" ht="16.5" customHeight="1">
      <c r="A32" s="36"/>
      <c r="B32" s="36"/>
      <c r="C32" s="36"/>
      <c r="D32" s="36"/>
      <c r="E32" s="36"/>
      <c r="F32" s="42"/>
      <c r="G32" s="42"/>
      <c r="H32" s="42"/>
      <c r="I32" s="42"/>
      <c r="J32" s="42"/>
      <c r="K32" s="42"/>
      <c r="L32" s="42"/>
      <c r="M32" s="42"/>
      <c r="N32" s="50"/>
      <c r="O32" s="50"/>
      <c r="P32" s="50"/>
      <c r="Q32" s="50"/>
      <c r="R32" s="50"/>
      <c r="S32" s="38"/>
      <c r="T32" s="38"/>
      <c r="U32" s="38"/>
      <c r="V32" s="38"/>
      <c r="W32" s="38"/>
      <c r="X32" s="38"/>
      <c r="Y32" s="38"/>
      <c r="Z32" s="38"/>
      <c r="AA32" s="38"/>
      <c r="AB32" s="38"/>
    </row>
    <row r="33" spans="1:28" ht="16.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1:28" ht="16.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1:28" ht="16.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1:28" ht="16.5" customHeight="1">
      <c r="A36" s="57"/>
      <c r="B36" s="52"/>
      <c r="C36" s="51"/>
      <c r="D36" s="52"/>
      <c r="E36" s="51"/>
      <c r="F36" s="52"/>
      <c r="G36" s="51"/>
      <c r="H36" s="52"/>
      <c r="I36" s="51"/>
      <c r="J36" s="52"/>
      <c r="K36" s="51"/>
      <c r="L36" s="52"/>
      <c r="M36" s="51"/>
      <c r="N36" s="52"/>
      <c r="O36" s="51"/>
      <c r="P36" s="38"/>
      <c r="Q36" s="38"/>
      <c r="R36" s="38"/>
      <c r="S36" s="38"/>
      <c r="T36" s="38"/>
      <c r="U36" s="38"/>
      <c r="V36" s="38"/>
      <c r="W36" s="38"/>
      <c r="X36" s="38"/>
      <c r="Y36" s="38"/>
      <c r="Z36" s="38"/>
      <c r="AA36" s="38"/>
      <c r="AB36" s="38"/>
    </row>
    <row r="37" spans="1:28" ht="16.5" customHeight="1">
      <c r="A37" s="57"/>
      <c r="B37" s="51"/>
      <c r="C37" s="52"/>
      <c r="D37" s="51"/>
      <c r="E37" s="52"/>
      <c r="F37" s="51"/>
      <c r="G37" s="52"/>
      <c r="H37" s="51"/>
      <c r="I37" s="52"/>
      <c r="J37" s="51"/>
      <c r="K37" s="52"/>
      <c r="L37" s="51"/>
      <c r="M37" s="52"/>
      <c r="N37" s="51"/>
      <c r="O37" s="52"/>
      <c r="P37" s="51"/>
      <c r="Q37" s="38"/>
      <c r="R37" s="38"/>
      <c r="S37" s="38"/>
      <c r="T37" s="38"/>
      <c r="U37" s="38"/>
      <c r="V37" s="38"/>
      <c r="W37" s="38"/>
      <c r="X37" s="38"/>
      <c r="Y37" s="38"/>
      <c r="Z37" s="38"/>
      <c r="AA37" s="38"/>
      <c r="AB37" s="38"/>
    </row>
    <row r="38" spans="1:28" ht="16.5" customHeight="1">
      <c r="A38" s="57"/>
      <c r="B38" s="52"/>
      <c r="C38" s="51"/>
      <c r="D38" s="52"/>
      <c r="E38" s="51"/>
      <c r="F38" s="52"/>
      <c r="G38" s="51"/>
      <c r="H38" s="52"/>
      <c r="I38" s="51"/>
      <c r="J38" s="52"/>
      <c r="K38" s="51"/>
      <c r="L38" s="52"/>
      <c r="M38" s="51"/>
      <c r="N38" s="52"/>
      <c r="O38" s="51"/>
      <c r="P38" s="52"/>
      <c r="Q38" s="38"/>
      <c r="R38" s="38"/>
      <c r="S38" s="38"/>
      <c r="T38" s="38"/>
      <c r="U38" s="38"/>
      <c r="V38" s="38"/>
      <c r="W38" s="38"/>
      <c r="X38" s="38"/>
      <c r="Y38" s="38"/>
      <c r="Z38" s="38"/>
      <c r="AA38" s="38"/>
      <c r="AB38" s="38"/>
    </row>
    <row r="39" spans="1:28" ht="16.5" customHeight="1">
      <c r="A39" s="57"/>
      <c r="B39" s="51"/>
      <c r="C39" s="52"/>
      <c r="D39" s="51"/>
      <c r="E39" s="52"/>
      <c r="F39" s="52"/>
      <c r="G39" s="52"/>
      <c r="H39" s="51"/>
      <c r="I39" s="52"/>
      <c r="J39" s="51"/>
      <c r="K39" s="52"/>
      <c r="L39" s="51"/>
      <c r="M39" s="52"/>
      <c r="N39" s="51"/>
      <c r="O39" s="52"/>
      <c r="P39" s="51"/>
      <c r="Q39" s="38"/>
      <c r="R39" s="38"/>
      <c r="S39" s="38"/>
      <c r="T39" s="38"/>
      <c r="U39" s="38"/>
      <c r="V39" s="38"/>
      <c r="W39" s="38"/>
      <c r="X39" s="38"/>
      <c r="Y39" s="38"/>
      <c r="Z39" s="38"/>
      <c r="AA39" s="38"/>
      <c r="AB39" s="38"/>
    </row>
    <row r="40" spans="1:36" ht="16.5" customHeight="1">
      <c r="A40" s="57"/>
      <c r="B40" s="52"/>
      <c r="C40" s="51"/>
      <c r="D40" s="52"/>
      <c r="E40" s="51"/>
      <c r="F40" s="52"/>
      <c r="G40" s="51"/>
      <c r="H40" s="52"/>
      <c r="I40" s="51"/>
      <c r="J40" s="52"/>
      <c r="K40" s="51"/>
      <c r="L40" s="52"/>
      <c r="M40" s="51"/>
      <c r="N40" s="52"/>
      <c r="O40" s="51"/>
      <c r="P40" s="52"/>
      <c r="Q40" s="38"/>
      <c r="R40" s="38"/>
      <c r="S40" s="1" t="s">
        <v>30</v>
      </c>
      <c r="V40" s="1" t="s">
        <v>4</v>
      </c>
      <c r="W40" s="1" t="s">
        <v>25</v>
      </c>
      <c r="X40" s="1" t="s">
        <v>24</v>
      </c>
      <c r="Y40" s="1" t="s">
        <v>23</v>
      </c>
      <c r="Z40" s="1" t="s">
        <v>22</v>
      </c>
      <c r="AA40" s="1" t="s">
        <v>21</v>
      </c>
      <c r="AB40" s="1" t="s">
        <v>20</v>
      </c>
      <c r="AC40" s="1" t="s">
        <v>19</v>
      </c>
      <c r="AD40" s="1" t="s">
        <v>18</v>
      </c>
      <c r="AE40" s="1" t="s">
        <v>17</v>
      </c>
      <c r="AF40" s="1" t="s">
        <v>16</v>
      </c>
      <c r="AG40" s="1" t="s">
        <v>15</v>
      </c>
      <c r="AH40" s="1" t="s">
        <v>14</v>
      </c>
      <c r="AI40" s="1" t="s">
        <v>13</v>
      </c>
      <c r="AJ40" s="1" t="s">
        <v>12</v>
      </c>
    </row>
    <row r="41" spans="1:36" ht="16.5" customHeight="1">
      <c r="A41" s="57"/>
      <c r="B41" s="51"/>
      <c r="C41" s="52"/>
      <c r="D41" s="51"/>
      <c r="E41" s="52"/>
      <c r="F41" s="51"/>
      <c r="G41" s="52"/>
      <c r="H41" s="51"/>
      <c r="I41" s="52"/>
      <c r="J41" s="51"/>
      <c r="K41" s="52"/>
      <c r="L41" s="51"/>
      <c r="M41" s="52"/>
      <c r="N41" s="51"/>
      <c r="O41" s="52"/>
      <c r="P41" s="51"/>
      <c r="Q41" s="38"/>
      <c r="R41" s="38"/>
      <c r="U41" s="5">
        <f>$G$16-0.05</f>
        <v>0.035</v>
      </c>
      <c r="V41" s="2">
        <f aca="true" t="shared" si="1" ref="V41:V50">(1+U41)*$G$15</f>
        <v>4875.7608</v>
      </c>
      <c r="W41" s="2">
        <f aca="true" t="shared" si="2" ref="W41:W50">(1+U41)*V41</f>
        <v>5046.412428</v>
      </c>
      <c r="X41" s="2">
        <f aca="true" t="shared" si="3" ref="X41:X50">(1+U41)*W41</f>
        <v>5223.03686298</v>
      </c>
      <c r="Y41" s="2">
        <f aca="true" t="shared" si="4" ref="Y41:Y50">(1+U41)*X41</f>
        <v>5405.843153184299</v>
      </c>
      <c r="Z41" s="2">
        <f aca="true" t="shared" si="5" ref="Z41:Z50">(1+U41)*Y41</f>
        <v>5595.047663545749</v>
      </c>
      <c r="AA41" s="2">
        <f aca="true" t="shared" si="6" ref="AA41:AA50">(1+U41)*Z41</f>
        <v>5790.87433176985</v>
      </c>
      <c r="AB41" s="2">
        <f aca="true" t="shared" si="7" ref="AB41:AB50">(1+U41)*AA41</f>
        <v>5993.554933381794</v>
      </c>
      <c r="AC41" s="2">
        <f aca="true" t="shared" si="8" ref="AC41:AC50">(1+U41)*AB41</f>
        <v>6203.329356050157</v>
      </c>
      <c r="AD41" s="2">
        <f aca="true" t="shared" si="9" ref="AD41:AD50">(1+U41)*AC41</f>
        <v>6420.445883511912</v>
      </c>
      <c r="AE41" s="2">
        <f aca="true" t="shared" si="10" ref="AE41:AE50">(1+U41)*AD41</f>
        <v>6645.161489434829</v>
      </c>
      <c r="AF41" s="2">
        <f aca="true" t="shared" si="11" ref="AF41:AF50">(1+U41)*AE41</f>
        <v>6877.742141565047</v>
      </c>
      <c r="AG41" s="2">
        <f aca="true" t="shared" si="12" ref="AG41:AG50">(1+U41)*AF41</f>
        <v>7118.463116519823</v>
      </c>
      <c r="AH41" s="2">
        <f aca="true" t="shared" si="13" ref="AH41:AH50">(1+U41)*AG41</f>
        <v>7367.609325598017</v>
      </c>
      <c r="AI41" s="2">
        <f aca="true" t="shared" si="14" ref="AI41:AI50">(1+U41)*AH41</f>
        <v>7625.4756519939465</v>
      </c>
      <c r="AJ41" s="2">
        <f aca="true" t="shared" si="15" ref="AJ41:AJ50">(1+U41)*AI41</f>
        <v>7892.367299813734</v>
      </c>
    </row>
    <row r="42" spans="1:36" ht="16.5" customHeight="1">
      <c r="A42" s="57"/>
      <c r="B42" s="52"/>
      <c r="C42" s="51"/>
      <c r="D42" s="52"/>
      <c r="E42" s="51"/>
      <c r="F42" s="52"/>
      <c r="G42" s="51"/>
      <c r="H42" s="52"/>
      <c r="I42" s="51"/>
      <c r="J42" s="52"/>
      <c r="K42" s="51"/>
      <c r="L42" s="52"/>
      <c r="M42" s="51"/>
      <c r="N42" s="29"/>
      <c r="O42" s="30"/>
      <c r="P42" s="29"/>
      <c r="U42" s="5">
        <f>$G$16-0.04</f>
        <v>0.045000000000000005</v>
      </c>
      <c r="V42" s="2">
        <f t="shared" si="1"/>
        <v>4922.8696</v>
      </c>
      <c r="W42" s="2">
        <f t="shared" si="2"/>
        <v>5144.398732</v>
      </c>
      <c r="X42" s="2">
        <f t="shared" si="3"/>
        <v>5375.89667494</v>
      </c>
      <c r="Y42" s="2">
        <f t="shared" si="4"/>
        <v>5617.8120253123</v>
      </c>
      <c r="Z42" s="2">
        <f t="shared" si="5"/>
        <v>5870.613566451353</v>
      </c>
      <c r="AA42" s="2">
        <f t="shared" si="6"/>
        <v>6134.791176941663</v>
      </c>
      <c r="AB42" s="2">
        <f t="shared" si="7"/>
        <v>6410.8567799040375</v>
      </c>
      <c r="AC42" s="2">
        <f t="shared" si="8"/>
        <v>6699.345334999719</v>
      </c>
      <c r="AD42" s="2">
        <f t="shared" si="9"/>
        <v>7000.815875074706</v>
      </c>
      <c r="AE42" s="2">
        <f t="shared" si="10"/>
        <v>7315.852589453068</v>
      </c>
      <c r="AF42" s="2">
        <f t="shared" si="11"/>
        <v>7645.065955978455</v>
      </c>
      <c r="AG42" s="2">
        <f t="shared" si="12"/>
        <v>7989.093923997485</v>
      </c>
      <c r="AH42" s="2">
        <f t="shared" si="13"/>
        <v>8348.603150577372</v>
      </c>
      <c r="AI42" s="2">
        <f t="shared" si="14"/>
        <v>8724.290292353353</v>
      </c>
      <c r="AJ42" s="2">
        <f t="shared" si="15"/>
        <v>9116.883355509253</v>
      </c>
    </row>
    <row r="43" spans="1:36" ht="16.5" customHeight="1">
      <c r="A43" s="28"/>
      <c r="B43" s="30"/>
      <c r="C43" s="29"/>
      <c r="D43" s="30"/>
      <c r="E43" s="29"/>
      <c r="F43" s="30"/>
      <c r="G43" s="29"/>
      <c r="H43" s="30"/>
      <c r="I43" s="29"/>
      <c r="J43" s="30"/>
      <c r="K43" s="29"/>
      <c r="L43" s="30"/>
      <c r="M43" s="29"/>
      <c r="N43" s="30"/>
      <c r="O43" s="29"/>
      <c r="P43" s="30"/>
      <c r="U43" s="126">
        <f>$G$16-0.03</f>
        <v>0.05500000000000001</v>
      </c>
      <c r="V43" s="2">
        <f t="shared" si="1"/>
        <v>4969.9784</v>
      </c>
      <c r="W43" s="2">
        <f t="shared" si="2"/>
        <v>5243.327211999999</v>
      </c>
      <c r="X43" s="2">
        <f t="shared" si="3"/>
        <v>5531.710208659999</v>
      </c>
      <c r="Y43" s="2">
        <f t="shared" si="4"/>
        <v>5835.954270136299</v>
      </c>
      <c r="Z43" s="2">
        <f t="shared" si="5"/>
        <v>6156.931754993795</v>
      </c>
      <c r="AA43" s="2">
        <f t="shared" si="6"/>
        <v>6495.563001518453</v>
      </c>
      <c r="AB43" s="2">
        <f t="shared" si="7"/>
        <v>6852.818966601968</v>
      </c>
      <c r="AC43" s="2">
        <f t="shared" si="8"/>
        <v>7229.724009765076</v>
      </c>
      <c r="AD43" s="2">
        <f t="shared" si="9"/>
        <v>7627.358830302154</v>
      </c>
      <c r="AE43" s="2">
        <f t="shared" si="10"/>
        <v>8046.8635659687725</v>
      </c>
      <c r="AF43" s="2">
        <f t="shared" si="11"/>
        <v>8489.441062097054</v>
      </c>
      <c r="AG43" s="2">
        <f t="shared" si="12"/>
        <v>8956.36032051239</v>
      </c>
      <c r="AH43" s="2">
        <f t="shared" si="13"/>
        <v>9448.960138140572</v>
      </c>
      <c r="AI43" s="2">
        <f t="shared" si="14"/>
        <v>9968.652945738302</v>
      </c>
      <c r="AJ43" s="2">
        <f t="shared" si="15"/>
        <v>10516.928857753908</v>
      </c>
    </row>
    <row r="44" spans="1:36" ht="12">
      <c r="A44" s="11"/>
      <c r="B44" s="11"/>
      <c r="C44" s="11"/>
      <c r="D44" s="11"/>
      <c r="E44" s="11"/>
      <c r="F44" s="11"/>
      <c r="G44" s="11"/>
      <c r="H44" s="11"/>
      <c r="I44" s="11"/>
      <c r="J44" s="11"/>
      <c r="K44" s="11"/>
      <c r="L44" s="11"/>
      <c r="M44" s="11"/>
      <c r="N44" s="11"/>
      <c r="O44" s="11"/>
      <c r="P44" s="11"/>
      <c r="U44" s="126">
        <f>$G$16-0.02</f>
        <v>0.065</v>
      </c>
      <c r="V44" s="2">
        <f t="shared" si="1"/>
        <v>5017.0872</v>
      </c>
      <c r="W44" s="2">
        <f t="shared" si="2"/>
        <v>5343.197867999999</v>
      </c>
      <c r="X44" s="2">
        <f t="shared" si="3"/>
        <v>5690.505729419999</v>
      </c>
      <c r="Y44" s="2">
        <f t="shared" si="4"/>
        <v>6060.388601832298</v>
      </c>
      <c r="Z44" s="2">
        <f t="shared" si="5"/>
        <v>6454.313860951397</v>
      </c>
      <c r="AA44" s="2">
        <f t="shared" si="6"/>
        <v>6873.8442619132375</v>
      </c>
      <c r="AB44" s="2">
        <f t="shared" si="7"/>
        <v>7320.644138937598</v>
      </c>
      <c r="AC44" s="2">
        <f t="shared" si="8"/>
        <v>7796.486007968541</v>
      </c>
      <c r="AD44" s="2">
        <f t="shared" si="9"/>
        <v>8303.257598486496</v>
      </c>
      <c r="AE44" s="2">
        <f t="shared" si="10"/>
        <v>8842.969342388118</v>
      </c>
      <c r="AF44" s="2">
        <f t="shared" si="11"/>
        <v>9417.762349643346</v>
      </c>
      <c r="AG44" s="2">
        <f t="shared" si="12"/>
        <v>10029.916902370163</v>
      </c>
      <c r="AH44" s="2">
        <f t="shared" si="13"/>
        <v>10681.861501024223</v>
      </c>
      <c r="AI44" s="2">
        <f t="shared" si="14"/>
        <v>11376.182498590797</v>
      </c>
      <c r="AJ44" s="2">
        <f t="shared" si="15"/>
        <v>12115.634360999198</v>
      </c>
    </row>
    <row r="45" spans="21:36" ht="12">
      <c r="U45" s="126">
        <f>$G$16-0.01</f>
        <v>0.07500000000000001</v>
      </c>
      <c r="V45" s="2">
        <f t="shared" si="1"/>
        <v>5064.196</v>
      </c>
      <c r="W45" s="2">
        <f t="shared" si="2"/>
        <v>5444.0107</v>
      </c>
      <c r="X45" s="2">
        <f t="shared" si="3"/>
        <v>5852.3115025</v>
      </c>
      <c r="Y45" s="2">
        <f t="shared" si="4"/>
        <v>6291.234865187499</v>
      </c>
      <c r="Z45" s="2">
        <f t="shared" si="5"/>
        <v>6763.077480076561</v>
      </c>
      <c r="AA45" s="2">
        <f t="shared" si="6"/>
        <v>7270.308291082303</v>
      </c>
      <c r="AB45" s="2">
        <f t="shared" si="7"/>
        <v>7815.581412913476</v>
      </c>
      <c r="AC45" s="2">
        <f t="shared" si="8"/>
        <v>8401.750018881987</v>
      </c>
      <c r="AD45" s="2">
        <f t="shared" si="9"/>
        <v>9031.881270298136</v>
      </c>
      <c r="AE45" s="2">
        <f t="shared" si="10"/>
        <v>9709.272365570496</v>
      </c>
      <c r="AF45" s="2">
        <f t="shared" si="11"/>
        <v>10437.467792988282</v>
      </c>
      <c r="AG45" s="2">
        <f t="shared" si="12"/>
        <v>11220.277877462402</v>
      </c>
      <c r="AH45" s="2">
        <f t="shared" si="13"/>
        <v>12061.798718272083</v>
      </c>
      <c r="AI45" s="2">
        <f t="shared" si="14"/>
        <v>12966.43362214249</v>
      </c>
      <c r="AJ45" s="2">
        <f t="shared" si="15"/>
        <v>13938.916143803175</v>
      </c>
    </row>
    <row r="46" spans="21:36" ht="12">
      <c r="U46" s="126">
        <f>$G$16-0</f>
        <v>0.085</v>
      </c>
      <c r="V46" s="2">
        <f t="shared" si="1"/>
        <v>5111.3048</v>
      </c>
      <c r="W46" s="2">
        <f t="shared" si="2"/>
        <v>5545.765708</v>
      </c>
      <c r="X46" s="2">
        <f t="shared" si="3"/>
        <v>6017.15579318</v>
      </c>
      <c r="Y46" s="2">
        <f t="shared" si="4"/>
        <v>6528.6140356003</v>
      </c>
      <c r="Z46" s="2">
        <f t="shared" si="5"/>
        <v>7083.546228626325</v>
      </c>
      <c r="AA46" s="2">
        <f t="shared" si="6"/>
        <v>7685.647658059562</v>
      </c>
      <c r="AB46" s="2">
        <f t="shared" si="7"/>
        <v>8338.927708994624</v>
      </c>
      <c r="AC46" s="2">
        <f t="shared" si="8"/>
        <v>9047.736564259167</v>
      </c>
      <c r="AD46" s="2">
        <f t="shared" si="9"/>
        <v>9816.794172221196</v>
      </c>
      <c r="AE46" s="2">
        <f t="shared" si="10"/>
        <v>10651.221676859997</v>
      </c>
      <c r="AF46" s="2">
        <f t="shared" si="11"/>
        <v>11556.575519393096</v>
      </c>
      <c r="AG46" s="2">
        <f t="shared" si="12"/>
        <v>12538.884438541509</v>
      </c>
      <c r="AH46" s="2">
        <f t="shared" si="13"/>
        <v>13604.689615817537</v>
      </c>
      <c r="AI46" s="2">
        <f t="shared" si="14"/>
        <v>14761.088233162027</v>
      </c>
      <c r="AJ46" s="2">
        <f t="shared" si="15"/>
        <v>16015.780732980798</v>
      </c>
    </row>
    <row r="47" spans="21:36" ht="12">
      <c r="U47" s="126">
        <f>$G$16+0.01</f>
        <v>0.095</v>
      </c>
      <c r="V47" s="2">
        <f t="shared" si="1"/>
        <v>5158.4136</v>
      </c>
      <c r="W47" s="2">
        <f t="shared" si="2"/>
        <v>5648.462892</v>
      </c>
      <c r="X47" s="2">
        <f t="shared" si="3"/>
        <v>6185.06686674</v>
      </c>
      <c r="Y47" s="2">
        <f t="shared" si="4"/>
        <v>6772.648219080299</v>
      </c>
      <c r="Z47" s="2">
        <f t="shared" si="5"/>
        <v>7416.049799892927</v>
      </c>
      <c r="AA47" s="2">
        <f t="shared" si="6"/>
        <v>8120.5745308827545</v>
      </c>
      <c r="AB47" s="2">
        <f t="shared" si="7"/>
        <v>8892.029111316617</v>
      </c>
      <c r="AC47" s="2">
        <f t="shared" si="8"/>
        <v>9736.771876891695</v>
      </c>
      <c r="AD47" s="2">
        <f t="shared" si="9"/>
        <v>10661.765205196405</v>
      </c>
      <c r="AE47" s="2">
        <f t="shared" si="10"/>
        <v>11674.632899690063</v>
      </c>
      <c r="AF47" s="2">
        <f t="shared" si="11"/>
        <v>12783.723025160618</v>
      </c>
      <c r="AG47" s="2">
        <f t="shared" si="12"/>
        <v>13998.176712550876</v>
      </c>
      <c r="AH47" s="2">
        <f t="shared" si="13"/>
        <v>15328.003500243209</v>
      </c>
      <c r="AI47" s="2">
        <f t="shared" si="14"/>
        <v>16784.163832766313</v>
      </c>
      <c r="AJ47" s="2">
        <f t="shared" si="15"/>
        <v>18378.659396879113</v>
      </c>
    </row>
    <row r="48" spans="21:36" ht="12">
      <c r="U48" s="126">
        <f>$G$16+0.02</f>
        <v>0.10500000000000001</v>
      </c>
      <c r="V48" s="2">
        <f t="shared" si="1"/>
        <v>5205.5224</v>
      </c>
      <c r="W48" s="2">
        <f t="shared" si="2"/>
        <v>5752.102252</v>
      </c>
      <c r="X48" s="2">
        <f t="shared" si="3"/>
        <v>6356.07298846</v>
      </c>
      <c r="Y48" s="2">
        <f t="shared" si="4"/>
        <v>7023.460652248299</v>
      </c>
      <c r="Z48" s="2">
        <f t="shared" si="5"/>
        <v>7760.92402073437</v>
      </c>
      <c r="AA48" s="2">
        <f t="shared" si="6"/>
        <v>8575.821042911479</v>
      </c>
      <c r="AB48" s="2">
        <f t="shared" si="7"/>
        <v>9476.282252417184</v>
      </c>
      <c r="AC48" s="2">
        <f t="shared" si="8"/>
        <v>10471.291888920989</v>
      </c>
      <c r="AD48" s="2">
        <f t="shared" si="9"/>
        <v>11570.777537257693</v>
      </c>
      <c r="AE48" s="2">
        <f t="shared" si="10"/>
        <v>12785.70917866975</v>
      </c>
      <c r="AF48" s="2">
        <f t="shared" si="11"/>
        <v>14128.208642430072</v>
      </c>
      <c r="AG48" s="2">
        <f t="shared" si="12"/>
        <v>15611.67054988523</v>
      </c>
      <c r="AH48" s="2">
        <f t="shared" si="13"/>
        <v>17250.89595762318</v>
      </c>
      <c r="AI48" s="2">
        <f t="shared" si="14"/>
        <v>19062.240033173613</v>
      </c>
      <c r="AJ48" s="2">
        <f t="shared" si="15"/>
        <v>21063.775236656842</v>
      </c>
    </row>
    <row r="49" spans="21:36" ht="12">
      <c r="U49" s="126">
        <f>$G$16+0.03</f>
        <v>0.115</v>
      </c>
      <c r="V49" s="2">
        <f t="shared" si="1"/>
        <v>5252.6312</v>
      </c>
      <c r="W49" s="2">
        <f t="shared" si="2"/>
        <v>5856.683787999999</v>
      </c>
      <c r="X49" s="2">
        <f t="shared" si="3"/>
        <v>6530.2024236199995</v>
      </c>
      <c r="Y49" s="2">
        <f t="shared" si="4"/>
        <v>7281.1757023363</v>
      </c>
      <c r="Z49" s="2">
        <f t="shared" si="5"/>
        <v>8118.510908104974</v>
      </c>
      <c r="AA49" s="2">
        <f t="shared" si="6"/>
        <v>9052.139662537045</v>
      </c>
      <c r="AB49" s="2">
        <f t="shared" si="7"/>
        <v>10093.135723728805</v>
      </c>
      <c r="AC49" s="2">
        <f t="shared" si="8"/>
        <v>11253.846331957617</v>
      </c>
      <c r="AD49" s="2">
        <f t="shared" si="9"/>
        <v>12548.038660132743</v>
      </c>
      <c r="AE49" s="2">
        <f t="shared" si="10"/>
        <v>13991.063106048008</v>
      </c>
      <c r="AF49" s="2">
        <f t="shared" si="11"/>
        <v>15600.035363243529</v>
      </c>
      <c r="AG49" s="2">
        <f t="shared" si="12"/>
        <v>17394.039430016535</v>
      </c>
      <c r="AH49" s="2">
        <f t="shared" si="13"/>
        <v>19394.353964468435</v>
      </c>
      <c r="AI49" s="2">
        <f t="shared" si="14"/>
        <v>21624.704670382303</v>
      </c>
      <c r="AJ49" s="2">
        <f t="shared" si="15"/>
        <v>24111.545707476267</v>
      </c>
    </row>
    <row r="50" spans="21:36" ht="12">
      <c r="U50" s="126">
        <f>$G$16+0.04</f>
        <v>0.125</v>
      </c>
      <c r="V50" s="2">
        <f t="shared" si="1"/>
        <v>5299.74</v>
      </c>
      <c r="W50" s="2">
        <f t="shared" si="2"/>
        <v>5962.2074999999995</v>
      </c>
      <c r="X50" s="2">
        <f t="shared" si="3"/>
        <v>6707.483437499999</v>
      </c>
      <c r="Y50" s="2">
        <f t="shared" si="4"/>
        <v>7545.918867187499</v>
      </c>
      <c r="Z50" s="2">
        <f t="shared" si="5"/>
        <v>8489.158725585936</v>
      </c>
      <c r="AA50" s="2">
        <f t="shared" si="6"/>
        <v>9550.303566284178</v>
      </c>
      <c r="AB50" s="2">
        <f t="shared" si="7"/>
        <v>10744.0915120697</v>
      </c>
      <c r="AC50" s="2">
        <f t="shared" si="8"/>
        <v>12087.102951078412</v>
      </c>
      <c r="AD50" s="2">
        <f t="shared" si="9"/>
        <v>13597.990819963214</v>
      </c>
      <c r="AE50" s="2">
        <f t="shared" si="10"/>
        <v>15297.739672458616</v>
      </c>
      <c r="AF50" s="2">
        <f t="shared" si="11"/>
        <v>17209.957131515945</v>
      </c>
      <c r="AG50" s="2">
        <f t="shared" si="12"/>
        <v>19361.20177295544</v>
      </c>
      <c r="AH50" s="2">
        <f t="shared" si="13"/>
        <v>21781.35199457487</v>
      </c>
      <c r="AI50" s="2">
        <f t="shared" si="14"/>
        <v>24504.02099389673</v>
      </c>
      <c r="AJ50" s="4">
        <f t="shared" si="15"/>
        <v>27567.023618133822</v>
      </c>
    </row>
    <row r="53" spans="1:36" ht="12">
      <c r="A53" s="58"/>
      <c r="B53" s="58"/>
      <c r="C53" s="58"/>
      <c r="D53" s="58"/>
      <c r="E53" s="58"/>
      <c r="F53" s="58"/>
      <c r="G53" s="58"/>
      <c r="H53" s="58"/>
      <c r="I53" s="58"/>
      <c r="J53" s="58"/>
      <c r="K53" s="58"/>
      <c r="L53" s="58"/>
      <c r="M53" s="58"/>
      <c r="N53" s="58"/>
      <c r="O53" s="58"/>
      <c r="P53" s="58"/>
      <c r="Q53" s="58"/>
      <c r="S53" s="1" t="s">
        <v>29</v>
      </c>
      <c r="V53" s="1" t="s">
        <v>4</v>
      </c>
      <c r="W53" s="1" t="s">
        <v>25</v>
      </c>
      <c r="X53" s="1" t="s">
        <v>24</v>
      </c>
      <c r="Y53" s="1" t="s">
        <v>23</v>
      </c>
      <c r="Z53" s="1" t="s">
        <v>22</v>
      </c>
      <c r="AA53" s="1" t="s">
        <v>21</v>
      </c>
      <c r="AB53" s="1" t="s">
        <v>20</v>
      </c>
      <c r="AC53" s="1" t="s">
        <v>19</v>
      </c>
      <c r="AD53" s="1" t="s">
        <v>18</v>
      </c>
      <c r="AE53" s="1" t="s">
        <v>17</v>
      </c>
      <c r="AF53" s="1" t="s">
        <v>16</v>
      </c>
      <c r="AG53" s="1" t="s">
        <v>15</v>
      </c>
      <c r="AH53" s="1" t="s">
        <v>14</v>
      </c>
      <c r="AI53" s="1" t="s">
        <v>13</v>
      </c>
      <c r="AJ53" s="1" t="s">
        <v>12</v>
      </c>
    </row>
    <row r="54" spans="21:36" ht="12">
      <c r="U54" s="1">
        <f aca="true" t="shared" si="16" ref="U54:U63">U41</f>
        <v>0.035</v>
      </c>
      <c r="V54" s="1">
        <f aca="true" t="shared" si="17" ref="V54:V63">V41/(1+$L$13)</f>
        <v>4558.640686956011</v>
      </c>
      <c r="W54" s="1">
        <f aca="true" t="shared" si="18" ref="W54:W63">W41/((1+$L$14)^2)</f>
        <v>4403.08395825534</v>
      </c>
      <c r="X54" s="1">
        <f aca="true" t="shared" si="19" ref="X54:X63">X41/((1+$L$15)^3)</f>
        <v>4244.905157393925</v>
      </c>
      <c r="Y54" s="1">
        <f aca="true" t="shared" si="20" ref="Y54:Y63">Y41/((1+$L$16)^4)</f>
        <v>4066.559006407534</v>
      </c>
      <c r="Z54" s="1">
        <f aca="true" t="shared" si="21" ref="Z54:Z63">Z41/((1+$L$17)^5)</f>
        <v>3865.448593332343</v>
      </c>
      <c r="AA54" s="1">
        <f aca="true" t="shared" si="22" ref="AA54:AA63">AA41/((1+$L$18)^6)</f>
        <v>3668.2541503953103</v>
      </c>
      <c r="AB54" s="1">
        <f aca="true" t="shared" si="23" ref="AB54:AB63">AB41/((1+$L$19)^7)</f>
        <v>3468.6504595762094</v>
      </c>
      <c r="AC54" s="1">
        <f aca="true" t="shared" si="24" ref="AC54:AC63">AC41/((1+$L$20)^8)</f>
        <v>3269.0958008154153</v>
      </c>
      <c r="AD54" s="1">
        <f aca="true" t="shared" si="25" ref="AD54:AD63">AD41/((1+$L$21)^9)</f>
        <v>3059.0321246079225</v>
      </c>
      <c r="AE54" s="1">
        <f aca="true" t="shared" si="26" ref="AE54:AE63">AE41/((1+$L$22)^10)</f>
        <v>2875.7660574854235</v>
      </c>
      <c r="AF54" s="1">
        <f aca="true" t="shared" si="27" ref="AF54:AF63">AF41/((1+$L$23)^11)</f>
        <v>2709.738070256553</v>
      </c>
      <c r="AG54" s="1">
        <f aca="true" t="shared" si="28" ref="AG54:AG63">AG41/((1+$L$24)^12)</f>
        <v>2531.8467808906726</v>
      </c>
      <c r="AH54" s="1">
        <f aca="true" t="shared" si="29" ref="AH54:AH63">AH41/((1+$L$25)^13)</f>
        <v>2353.148688100186</v>
      </c>
      <c r="AI54" s="1">
        <f aca="true" t="shared" si="30" ref="AI54:AI63">AI41/((1+$L$26)^14)</f>
        <v>2205.2132684912876</v>
      </c>
      <c r="AJ54" s="1">
        <f aca="true" t="shared" si="31" ref="AJ54:AJ63">AJ41/((1+$L$27)^15)</f>
        <v>2046.2903939844755</v>
      </c>
    </row>
    <row r="55" spans="21:36" ht="12">
      <c r="U55" s="1">
        <f t="shared" si="16"/>
        <v>0.045000000000000005</v>
      </c>
      <c r="V55" s="1">
        <f t="shared" si="17"/>
        <v>4602.685524511142</v>
      </c>
      <c r="W55" s="1">
        <f t="shared" si="18"/>
        <v>4488.578738839915</v>
      </c>
      <c r="X55" s="1">
        <f t="shared" si="19"/>
        <v>4369.138514570932</v>
      </c>
      <c r="Y55" s="1">
        <f t="shared" si="20"/>
        <v>4226.013119596597</v>
      </c>
      <c r="Z55" s="1">
        <f t="shared" si="21"/>
        <v>4055.828710859668</v>
      </c>
      <c r="AA55" s="1">
        <f t="shared" si="22"/>
        <v>3886.1097491208993</v>
      </c>
      <c r="AB55" s="1">
        <f t="shared" si="23"/>
        <v>3710.155585967811</v>
      </c>
      <c r="AC55" s="1">
        <f t="shared" si="24"/>
        <v>3530.491522507973</v>
      </c>
      <c r="AD55" s="1">
        <f t="shared" si="25"/>
        <v>3335.5503728044023</v>
      </c>
      <c r="AE55" s="1">
        <f t="shared" si="26"/>
        <v>3166.0149406098653</v>
      </c>
      <c r="AF55" s="1">
        <f t="shared" si="27"/>
        <v>3012.0533518319903</v>
      </c>
      <c r="AG55" s="1">
        <f t="shared" si="28"/>
        <v>2841.5068537427796</v>
      </c>
      <c r="AH55" s="1">
        <f t="shared" si="29"/>
        <v>2666.4693638130207</v>
      </c>
      <c r="AI55" s="1">
        <f t="shared" si="30"/>
        <v>2522.9797574445943</v>
      </c>
      <c r="AJ55" s="1">
        <f t="shared" si="31"/>
        <v>2363.7763075086264</v>
      </c>
    </row>
    <row r="56" spans="21:36" ht="12">
      <c r="U56" s="1">
        <f t="shared" si="16"/>
        <v>0.05500000000000001</v>
      </c>
      <c r="V56" s="1">
        <f t="shared" si="17"/>
        <v>4646.730362066272</v>
      </c>
      <c r="W56" s="1">
        <f t="shared" si="18"/>
        <v>4574.895584622418</v>
      </c>
      <c r="X56" s="1">
        <f t="shared" si="19"/>
        <v>4495.772442347277</v>
      </c>
      <c r="Y56" s="1">
        <f t="shared" si="20"/>
        <v>4390.111167806607</v>
      </c>
      <c r="Z56" s="1">
        <f t="shared" si="21"/>
        <v>4253.637256148354</v>
      </c>
      <c r="AA56" s="1">
        <f t="shared" si="22"/>
        <v>4114.642206748076</v>
      </c>
      <c r="AB56" s="1">
        <f t="shared" si="23"/>
        <v>3965.932392728486</v>
      </c>
      <c r="AC56" s="1">
        <f t="shared" si="24"/>
        <v>3809.9960593461515</v>
      </c>
      <c r="AD56" s="1">
        <f t="shared" si="25"/>
        <v>3634.067806369185</v>
      </c>
      <c r="AE56" s="1">
        <f t="shared" si="26"/>
        <v>3482.3679076905696</v>
      </c>
      <c r="AF56" s="1">
        <f t="shared" si="27"/>
        <v>3344.7258079275653</v>
      </c>
      <c r="AG56" s="1">
        <f t="shared" si="28"/>
        <v>3185.5376188382197</v>
      </c>
      <c r="AH56" s="1">
        <f t="shared" si="29"/>
        <v>3017.9135687506987</v>
      </c>
      <c r="AI56" s="1">
        <f t="shared" si="30"/>
        <v>2882.837313784962</v>
      </c>
      <c r="AJ56" s="1">
        <f t="shared" si="31"/>
        <v>2726.772548503647</v>
      </c>
    </row>
    <row r="57" spans="21:36" ht="12">
      <c r="U57" s="1">
        <f t="shared" si="16"/>
        <v>0.065</v>
      </c>
      <c r="V57" s="1">
        <f t="shared" si="17"/>
        <v>4690.775199621403</v>
      </c>
      <c r="W57" s="1">
        <f t="shared" si="18"/>
        <v>4662.034495602849</v>
      </c>
      <c r="X57" s="1">
        <f t="shared" si="19"/>
        <v>4624.8299126904185</v>
      </c>
      <c r="Y57" s="1">
        <f t="shared" si="20"/>
        <v>4558.942454072804</v>
      </c>
      <c r="Z57" s="1">
        <f t="shared" si="21"/>
        <v>4459.089526134476</v>
      </c>
      <c r="AA57" s="1">
        <f t="shared" si="22"/>
        <v>4354.266091494999</v>
      </c>
      <c r="AB57" s="1">
        <f t="shared" si="23"/>
        <v>4236.67688694933</v>
      </c>
      <c r="AC57" s="1">
        <f t="shared" si="24"/>
        <v>4108.674262943652</v>
      </c>
      <c r="AD57" s="1">
        <f t="shared" si="25"/>
        <v>3956.100899143712</v>
      </c>
      <c r="AE57" s="1">
        <f t="shared" si="26"/>
        <v>3826.89135887152</v>
      </c>
      <c r="AF57" s="1">
        <f t="shared" si="27"/>
        <v>3710.471932530218</v>
      </c>
      <c r="AG57" s="1">
        <f t="shared" si="28"/>
        <v>3567.372957645095</v>
      </c>
      <c r="AH57" s="1">
        <f t="shared" si="29"/>
        <v>3411.6912646644423</v>
      </c>
      <c r="AI57" s="1">
        <f t="shared" si="30"/>
        <v>3289.8811478220305</v>
      </c>
      <c r="AJ57" s="1">
        <f t="shared" si="31"/>
        <v>3141.2762822792106</v>
      </c>
    </row>
    <row r="58" spans="21:36" ht="12">
      <c r="U58" s="1">
        <f t="shared" si="16"/>
        <v>0.07500000000000001</v>
      </c>
      <c r="V58" s="1">
        <f t="shared" si="17"/>
        <v>4734.820037176533</v>
      </c>
      <c r="W58" s="1">
        <f t="shared" si="18"/>
        <v>4749.995471781211</v>
      </c>
      <c r="X58" s="1">
        <f t="shared" si="19"/>
        <v>4756.333897567815</v>
      </c>
      <c r="Y58" s="1">
        <f t="shared" si="20"/>
        <v>4732.597131935526</v>
      </c>
      <c r="Z58" s="1">
        <f t="shared" si="21"/>
        <v>4672.404938082765</v>
      </c>
      <c r="AA58" s="1">
        <f t="shared" si="22"/>
        <v>4605.40792900702</v>
      </c>
      <c r="AB58" s="1">
        <f t="shared" si="23"/>
        <v>4523.11196962057</v>
      </c>
      <c r="AC58" s="1">
        <f t="shared" si="24"/>
        <v>4427.642662474467</v>
      </c>
      <c r="AD58" s="1">
        <f t="shared" si="25"/>
        <v>4303.254859983954</v>
      </c>
      <c r="AE58" s="1">
        <f t="shared" si="26"/>
        <v>4201.793433640628</v>
      </c>
      <c r="AF58" s="1">
        <f t="shared" si="27"/>
        <v>4112.22218768748</v>
      </c>
      <c r="AG58" s="1">
        <f t="shared" si="28"/>
        <v>3990.7524924622403</v>
      </c>
      <c r="AH58" s="1">
        <f t="shared" si="29"/>
        <v>3852.4309006743706</v>
      </c>
      <c r="AI58" s="1">
        <f t="shared" si="30"/>
        <v>3749.7662799675095</v>
      </c>
      <c r="AJ58" s="1">
        <f t="shared" si="31"/>
        <v>3614.0069416552283</v>
      </c>
    </row>
    <row r="59" spans="21:36" ht="12">
      <c r="U59" s="1">
        <f t="shared" si="16"/>
        <v>0.085</v>
      </c>
      <c r="V59" s="1">
        <f t="shared" si="17"/>
        <v>4778.864874731664</v>
      </c>
      <c r="W59" s="1">
        <f t="shared" si="18"/>
        <v>4838.7785131575</v>
      </c>
      <c r="X59" s="1">
        <f t="shared" si="19"/>
        <v>4890.307368946923</v>
      </c>
      <c r="Y59" s="1">
        <f t="shared" si="20"/>
        <v>4911.166205440203</v>
      </c>
      <c r="Z59" s="1">
        <f t="shared" si="21"/>
        <v>4893.80706864185</v>
      </c>
      <c r="AA59" s="1">
        <f t="shared" si="22"/>
        <v>4868.506430105254</v>
      </c>
      <c r="AB59" s="1">
        <f t="shared" si="23"/>
        <v>4825.988207612288</v>
      </c>
      <c r="AC59" s="1">
        <f t="shared" si="24"/>
        <v>4768.071451865788</v>
      </c>
      <c r="AD59" s="1">
        <f t="shared" si="25"/>
        <v>4677.2279181741915</v>
      </c>
      <c r="AE59" s="1">
        <f t="shared" si="26"/>
        <v>4609.43226402645</v>
      </c>
      <c r="AF59" s="1">
        <f t="shared" si="27"/>
        <v>4553.135607897115</v>
      </c>
      <c r="AG59" s="1">
        <f t="shared" si="28"/>
        <v>4459.7455492896015</v>
      </c>
      <c r="AH59" s="1">
        <f t="shared" si="29"/>
        <v>4345.216488371925</v>
      </c>
      <c r="AI59" s="1">
        <f t="shared" si="30"/>
        <v>4268.762909318035</v>
      </c>
      <c r="AJ59" s="1">
        <f t="shared" si="31"/>
        <v>4152.4851823398685</v>
      </c>
    </row>
    <row r="60" spans="21:36" ht="12">
      <c r="U60" s="1">
        <f t="shared" si="16"/>
        <v>0.095</v>
      </c>
      <c r="V60" s="1">
        <f t="shared" si="17"/>
        <v>4822.909712286794</v>
      </c>
      <c r="W60" s="1">
        <f t="shared" si="18"/>
        <v>4928.383619731718</v>
      </c>
      <c r="X60" s="1">
        <f t="shared" si="19"/>
        <v>5026.7732987952</v>
      </c>
      <c r="Y60" s="1">
        <f t="shared" si="20"/>
        <v>5094.741529137366</v>
      </c>
      <c r="Z60" s="1">
        <f t="shared" si="21"/>
        <v>5123.523692899515</v>
      </c>
      <c r="AA60" s="1">
        <f t="shared" si="22"/>
        <v>5144.01272068375</v>
      </c>
      <c r="AB60" s="1">
        <f t="shared" si="23"/>
        <v>5146.084620289017</v>
      </c>
      <c r="AC60" s="1">
        <f t="shared" si="24"/>
        <v>5131.18653376026</v>
      </c>
      <c r="AD60" s="1">
        <f t="shared" si="25"/>
        <v>5079.81577283896</v>
      </c>
      <c r="AE60" s="1">
        <f t="shared" si="26"/>
        <v>5052.32462445194</v>
      </c>
      <c r="AF60" s="1">
        <f t="shared" si="27"/>
        <v>5036.615250744259</v>
      </c>
      <c r="AG60" s="1">
        <f t="shared" si="28"/>
        <v>4978.776748279021</v>
      </c>
      <c r="AH60" s="1">
        <f t="shared" si="29"/>
        <v>4895.627568426303</v>
      </c>
      <c r="AI60" s="1">
        <f t="shared" si="30"/>
        <v>4853.816663209672</v>
      </c>
      <c r="AJ60" s="1">
        <f t="shared" si="31"/>
        <v>4765.119608540497</v>
      </c>
    </row>
    <row r="61" spans="21:36" ht="12">
      <c r="U61" s="1">
        <f t="shared" si="16"/>
        <v>0.10500000000000001</v>
      </c>
      <c r="V61" s="1">
        <f t="shared" si="17"/>
        <v>4866.954549841925</v>
      </c>
      <c r="W61" s="1">
        <f t="shared" si="18"/>
        <v>5018.810791503864</v>
      </c>
      <c r="X61" s="1">
        <f t="shared" si="19"/>
        <v>5165.754659080105</v>
      </c>
      <c r="Y61" s="1">
        <f t="shared" si="20"/>
        <v>5283.415808082645</v>
      </c>
      <c r="Z61" s="1">
        <f t="shared" si="21"/>
        <v>5361.786823437946</v>
      </c>
      <c r="AA61" s="1">
        <f t="shared" si="22"/>
        <v>5432.3905737551995</v>
      </c>
      <c r="AB61" s="1">
        <f t="shared" si="23"/>
        <v>5484.209480895552</v>
      </c>
      <c r="AC61" s="1">
        <f t="shared" si="24"/>
        <v>5518.271621318593</v>
      </c>
      <c r="AD61" s="1">
        <f t="shared" si="25"/>
        <v>5512.916211015884</v>
      </c>
      <c r="AE61" s="1">
        <f t="shared" si="26"/>
        <v>5533.154993352235</v>
      </c>
      <c r="AF61" s="1">
        <f t="shared" si="27"/>
        <v>5566.3245342618875</v>
      </c>
      <c r="AG61" s="1">
        <f t="shared" si="28"/>
        <v>5552.653315618618</v>
      </c>
      <c r="AH61" s="1">
        <f t="shared" si="29"/>
        <v>5509.782264132042</v>
      </c>
      <c r="AI61" s="1">
        <f t="shared" si="30"/>
        <v>5512.614106548015</v>
      </c>
      <c r="AJ61" s="1">
        <f t="shared" si="31"/>
        <v>5461.3019504092545</v>
      </c>
    </row>
    <row r="62" spans="21:36" ht="12">
      <c r="U62" s="1">
        <f t="shared" si="16"/>
        <v>0.115</v>
      </c>
      <c r="V62" s="1">
        <f t="shared" si="17"/>
        <v>4910.999387397055</v>
      </c>
      <c r="W62" s="1">
        <f t="shared" si="18"/>
        <v>5110.0600284739385</v>
      </c>
      <c r="X62" s="1">
        <f t="shared" si="19"/>
        <v>5307.274421769094</v>
      </c>
      <c r="Y62" s="1">
        <f t="shared" si="20"/>
        <v>5477.282597836765</v>
      </c>
      <c r="Z62" s="1">
        <f t="shared" si="21"/>
        <v>5608.832749388974</v>
      </c>
      <c r="AA62" s="1">
        <f t="shared" si="22"/>
        <v>5734.116643645243</v>
      </c>
      <c r="AB62" s="1">
        <f t="shared" si="23"/>
        <v>5841.201132851424</v>
      </c>
      <c r="AC62" s="1">
        <f t="shared" si="24"/>
        <v>5930.670398943613</v>
      </c>
      <c r="AD62" s="1">
        <f t="shared" si="25"/>
        <v>5978.5338991397475</v>
      </c>
      <c r="AE62" s="1">
        <f t="shared" si="26"/>
        <v>6054.7850420910445</v>
      </c>
      <c r="AF62" s="1">
        <f t="shared" si="27"/>
        <v>6146.204503024652</v>
      </c>
      <c r="AG62" s="1">
        <f t="shared" si="28"/>
        <v>6186.594215171439</v>
      </c>
      <c r="AH62" s="1">
        <f t="shared" si="29"/>
        <v>6194.383628550391</v>
      </c>
      <c r="AI62" s="1">
        <f t="shared" si="30"/>
        <v>6253.653915197161</v>
      </c>
      <c r="AJ62" s="1">
        <f t="shared" si="31"/>
        <v>6251.511427565053</v>
      </c>
    </row>
    <row r="63" spans="21:36" ht="12">
      <c r="U63" s="1">
        <f t="shared" si="16"/>
        <v>0.125</v>
      </c>
      <c r="V63" s="1">
        <f t="shared" si="17"/>
        <v>4955.044224952187</v>
      </c>
      <c r="W63" s="1">
        <f t="shared" si="18"/>
        <v>5202.131330641942</v>
      </c>
      <c r="X63" s="1">
        <f t="shared" si="19"/>
        <v>5451.355558829627</v>
      </c>
      <c r="Y63" s="1">
        <f t="shared" si="20"/>
        <v>5676.4363044655465</v>
      </c>
      <c r="Z63" s="1">
        <f t="shared" si="21"/>
        <v>5864.902075489322</v>
      </c>
      <c r="AA63" s="1">
        <f t="shared" si="22"/>
        <v>6049.680702335331</v>
      </c>
      <c r="AB63" s="1">
        <f t="shared" si="23"/>
        <v>6217.928821091435</v>
      </c>
      <c r="AC63" s="1">
        <f t="shared" si="24"/>
        <v>6369.7887430168175</v>
      </c>
      <c r="AD63" s="1">
        <f t="shared" si="25"/>
        <v>6478.785352776491</v>
      </c>
      <c r="AE63" s="1">
        <f t="shared" si="26"/>
        <v>6620.263567145642</v>
      </c>
      <c r="AF63" s="1">
        <f t="shared" si="27"/>
        <v>6780.492066563611</v>
      </c>
      <c r="AG63" s="1">
        <f t="shared" si="28"/>
        <v>6886.261202825114</v>
      </c>
      <c r="AH63" s="1">
        <f t="shared" si="29"/>
        <v>6956.769503643838</v>
      </c>
      <c r="AI63" s="1">
        <f t="shared" si="30"/>
        <v>7086.324144645375</v>
      </c>
      <c r="AJ63" s="3">
        <f t="shared" si="31"/>
        <v>7147.429089097478</v>
      </c>
    </row>
    <row r="66" spans="19:36" ht="12">
      <c r="S66" s="1" t="s">
        <v>28</v>
      </c>
      <c r="V66" s="1" t="s">
        <v>4</v>
      </c>
      <c r="W66" s="1" t="s">
        <v>25</v>
      </c>
      <c r="X66" s="1" t="s">
        <v>24</v>
      </c>
      <c r="Y66" s="1" t="s">
        <v>23</v>
      </c>
      <c r="Z66" s="1" t="s">
        <v>22</v>
      </c>
      <c r="AA66" s="1" t="s">
        <v>21</v>
      </c>
      <c r="AB66" s="1" t="s">
        <v>20</v>
      </c>
      <c r="AC66" s="1" t="s">
        <v>19</v>
      </c>
      <c r="AD66" s="1" t="s">
        <v>18</v>
      </c>
      <c r="AE66" s="1" t="s">
        <v>17</v>
      </c>
      <c r="AF66" s="1" t="s">
        <v>16</v>
      </c>
      <c r="AG66" s="1" t="s">
        <v>15</v>
      </c>
      <c r="AH66" s="1" t="s">
        <v>14</v>
      </c>
      <c r="AI66" s="1" t="s">
        <v>13</v>
      </c>
      <c r="AJ66" s="1" t="s">
        <v>12</v>
      </c>
    </row>
    <row r="67" spans="21:36" ht="12">
      <c r="U67" s="1">
        <f aca="true" t="shared" si="32" ref="U67:U76">U54</f>
        <v>0.035</v>
      </c>
      <c r="V67" s="1">
        <f>(V41*(1+$G$9))/($L$28-$G$9)</f>
        <v>67659.65535120454</v>
      </c>
      <c r="W67" s="1">
        <f aca="true" t="shared" si="33" ref="W67:AJ67">(W41*(1+$G$9))/($L$28-$G$9)</f>
        <v>70027.74328849668</v>
      </c>
      <c r="X67" s="1">
        <f t="shared" si="33"/>
        <v>72478.71430359407</v>
      </c>
      <c r="Y67" s="1">
        <f t="shared" si="33"/>
        <v>75015.46930421986</v>
      </c>
      <c r="Z67" s="1">
        <f t="shared" si="33"/>
        <v>77641.01072986756</v>
      </c>
      <c r="AA67" s="1">
        <f t="shared" si="33"/>
        <v>80358.44610541292</v>
      </c>
      <c r="AB67" s="1">
        <f t="shared" si="33"/>
        <v>83170.99171910236</v>
      </c>
      <c r="AC67" s="1">
        <f t="shared" si="33"/>
        <v>86081.97642927093</v>
      </c>
      <c r="AD67" s="1">
        <f t="shared" si="33"/>
        <v>89094.84560429542</v>
      </c>
      <c r="AE67" s="1">
        <f t="shared" si="33"/>
        <v>92213.16520044574</v>
      </c>
      <c r="AF67" s="1">
        <f t="shared" si="33"/>
        <v>95440.62598246135</v>
      </c>
      <c r="AG67" s="1">
        <f t="shared" si="33"/>
        <v>98781.0478918475</v>
      </c>
      <c r="AH67" s="1">
        <f t="shared" si="33"/>
        <v>102238.38456806215</v>
      </c>
      <c r="AI67" s="1">
        <f t="shared" si="33"/>
        <v>105816.72802794431</v>
      </c>
      <c r="AJ67" s="1">
        <f t="shared" si="33"/>
        <v>109520.31350892234</v>
      </c>
    </row>
    <row r="68" spans="21:36" ht="12">
      <c r="U68" s="1">
        <f t="shared" si="32"/>
        <v>0.045000000000000005</v>
      </c>
      <c r="V68" s="1">
        <f aca="true" t="shared" si="34" ref="V68:AJ68">(V42*(1+$G$9))/($L$28-$G$9)</f>
        <v>68313.37182802777</v>
      </c>
      <c r="W68" s="1">
        <f t="shared" si="34"/>
        <v>71387.47356028901</v>
      </c>
      <c r="X68" s="1">
        <f t="shared" si="34"/>
        <v>74599.90987050202</v>
      </c>
      <c r="Y68" s="1">
        <f t="shared" si="34"/>
        <v>77956.90581467461</v>
      </c>
      <c r="Z68" s="1">
        <f t="shared" si="34"/>
        <v>81464.96657633496</v>
      </c>
      <c r="AA68" s="1">
        <f t="shared" si="34"/>
        <v>85130.89007227003</v>
      </c>
      <c r="AB68" s="1">
        <f t="shared" si="34"/>
        <v>88961.78012552219</v>
      </c>
      <c r="AC68" s="1">
        <f t="shared" si="34"/>
        <v>92965.06023117068</v>
      </c>
      <c r="AD68" s="1">
        <f t="shared" si="34"/>
        <v>97148.48794157336</v>
      </c>
      <c r="AE68" s="1">
        <f t="shared" si="34"/>
        <v>101520.16989894414</v>
      </c>
      <c r="AF68" s="1">
        <f t="shared" si="34"/>
        <v>106088.57754439663</v>
      </c>
      <c r="AG68" s="1">
        <f t="shared" si="34"/>
        <v>110862.56353389447</v>
      </c>
      <c r="AH68" s="1">
        <f t="shared" si="34"/>
        <v>115851.37889291972</v>
      </c>
      <c r="AI68" s="1">
        <f t="shared" si="34"/>
        <v>121064.6909431011</v>
      </c>
      <c r="AJ68" s="1">
        <f t="shared" si="34"/>
        <v>126512.60203554064</v>
      </c>
    </row>
    <row r="69" spans="21:36" ht="12">
      <c r="U69" s="1">
        <f t="shared" si="32"/>
        <v>0.05500000000000001</v>
      </c>
      <c r="V69" s="1">
        <f aca="true" t="shared" si="35" ref="V69:AJ69">(V43*(1+$G$9))/($L$28-$G$9)</f>
        <v>68967.08830485101</v>
      </c>
      <c r="W69" s="1">
        <f t="shared" si="35"/>
        <v>72760.2781616178</v>
      </c>
      <c r="X69" s="1">
        <f t="shared" si="35"/>
        <v>76762.09346050677</v>
      </c>
      <c r="Y69" s="1">
        <f t="shared" si="35"/>
        <v>80984.00860083464</v>
      </c>
      <c r="Z69" s="1">
        <f t="shared" si="35"/>
        <v>85438.12907388055</v>
      </c>
      <c r="AA69" s="1">
        <f t="shared" si="35"/>
        <v>90137.22617294396</v>
      </c>
      <c r="AB69" s="1">
        <f t="shared" si="35"/>
        <v>95094.77361245589</v>
      </c>
      <c r="AC69" s="1">
        <f t="shared" si="35"/>
        <v>100324.98616114096</v>
      </c>
      <c r="AD69" s="1">
        <f t="shared" si="35"/>
        <v>105842.86040000369</v>
      </c>
      <c r="AE69" s="1">
        <f t="shared" si="35"/>
        <v>111664.21772200392</v>
      </c>
      <c r="AF69" s="1">
        <f t="shared" si="35"/>
        <v>117805.7496967141</v>
      </c>
      <c r="AG69" s="1">
        <f t="shared" si="35"/>
        <v>124285.06593003336</v>
      </c>
      <c r="AH69" s="1">
        <f t="shared" si="35"/>
        <v>131120.74455618518</v>
      </c>
      <c r="AI69" s="1">
        <f t="shared" si="35"/>
        <v>138332.38550677538</v>
      </c>
      <c r="AJ69" s="1">
        <f t="shared" si="35"/>
        <v>145940.666709648</v>
      </c>
    </row>
    <row r="70" spans="21:36" ht="12">
      <c r="U70" s="1">
        <f t="shared" si="32"/>
        <v>0.065</v>
      </c>
      <c r="V70" s="1">
        <f aca="true" t="shared" si="36" ref="V70:AJ70">(V44*(1+$G$9))/($L$28-$G$9)</f>
        <v>69620.80478167423</v>
      </c>
      <c r="W70" s="1">
        <f t="shared" si="36"/>
        <v>74146.15709248306</v>
      </c>
      <c r="X70" s="1">
        <f t="shared" si="36"/>
        <v>78965.65730349444</v>
      </c>
      <c r="Y70" s="1">
        <f t="shared" si="36"/>
        <v>84098.42502822158</v>
      </c>
      <c r="Z70" s="1">
        <f t="shared" si="36"/>
        <v>89564.82265505598</v>
      </c>
      <c r="AA70" s="1">
        <f t="shared" si="36"/>
        <v>95386.53612763461</v>
      </c>
      <c r="AB70" s="1">
        <f t="shared" si="36"/>
        <v>101586.66097593085</v>
      </c>
      <c r="AC70" s="1">
        <f t="shared" si="36"/>
        <v>108189.79393936635</v>
      </c>
      <c r="AD70" s="1">
        <f t="shared" si="36"/>
        <v>115222.13054542516</v>
      </c>
      <c r="AE70" s="1">
        <f t="shared" si="36"/>
        <v>122711.5690308778</v>
      </c>
      <c r="AF70" s="1">
        <f t="shared" si="36"/>
        <v>130687.82101788485</v>
      </c>
      <c r="AG70" s="1">
        <f t="shared" si="36"/>
        <v>139182.52938404735</v>
      </c>
      <c r="AH70" s="1">
        <f t="shared" si="36"/>
        <v>148229.39379401042</v>
      </c>
      <c r="AI70" s="1">
        <f t="shared" si="36"/>
        <v>157864.3043906211</v>
      </c>
      <c r="AJ70" s="1">
        <f t="shared" si="36"/>
        <v>168125.48417601147</v>
      </c>
    </row>
    <row r="71" spans="21:36" ht="12">
      <c r="U71" s="1">
        <f t="shared" si="32"/>
        <v>0.07500000000000001</v>
      </c>
      <c r="V71" s="1">
        <f aca="true" t="shared" si="37" ref="V71:AJ71">(V45*(1+$G$9))/($L$28-$G$9)</f>
        <v>70274.52125849747</v>
      </c>
      <c r="W71" s="1">
        <f t="shared" si="37"/>
        <v>75545.11035288477</v>
      </c>
      <c r="X71" s="1">
        <f t="shared" si="37"/>
        <v>81210.99362935113</v>
      </c>
      <c r="Y71" s="1">
        <f t="shared" si="37"/>
        <v>87301.81815155246</v>
      </c>
      <c r="Z71" s="1">
        <f t="shared" si="37"/>
        <v>93849.45451291889</v>
      </c>
      <c r="AA71" s="1">
        <f t="shared" si="37"/>
        <v>100888.16360138782</v>
      </c>
      <c r="AB71" s="1">
        <f t="shared" si="37"/>
        <v>108454.77587149189</v>
      </c>
      <c r="AC71" s="1">
        <f t="shared" si="37"/>
        <v>116588.88406185378</v>
      </c>
      <c r="AD71" s="1">
        <f t="shared" si="37"/>
        <v>125333.05036649283</v>
      </c>
      <c r="AE71" s="1">
        <f t="shared" si="37"/>
        <v>134733.02914397977</v>
      </c>
      <c r="AF71" s="1">
        <f t="shared" si="37"/>
        <v>144838.00632977823</v>
      </c>
      <c r="AG71" s="1">
        <f t="shared" si="37"/>
        <v>155700.8568045116</v>
      </c>
      <c r="AH71" s="1">
        <f t="shared" si="37"/>
        <v>167378.42106484997</v>
      </c>
      <c r="AI71" s="1">
        <f t="shared" si="37"/>
        <v>179931.80264471372</v>
      </c>
      <c r="AJ71" s="1">
        <f t="shared" si="37"/>
        <v>193426.68784306725</v>
      </c>
    </row>
    <row r="72" spans="21:36" ht="12">
      <c r="U72" s="1">
        <f t="shared" si="32"/>
        <v>0.085</v>
      </c>
      <c r="V72" s="1">
        <f aca="true" t="shared" si="38" ref="V72:AJ72">(V46*(1+$G$9))/($L$28-$G$9)</f>
        <v>70928.23773532071</v>
      </c>
      <c r="W72" s="1">
        <f t="shared" si="38"/>
        <v>76957.13794282296</v>
      </c>
      <c r="X72" s="1">
        <f t="shared" si="38"/>
        <v>83498.49466796292</v>
      </c>
      <c r="Y72" s="1">
        <f t="shared" si="38"/>
        <v>90595.86671473976</v>
      </c>
      <c r="Z72" s="1">
        <f>(Z46*(1+$G$9))/($L$28-$G$9)</f>
        <v>98296.51538549262</v>
      </c>
      <c r="AA72" s="1">
        <f t="shared" si="38"/>
        <v>106651.71919325949</v>
      </c>
      <c r="AB72" s="1">
        <f t="shared" si="38"/>
        <v>115717.11532468656</v>
      </c>
      <c r="AC72" s="1">
        <f t="shared" si="38"/>
        <v>125553.07012728488</v>
      </c>
      <c r="AD72" s="1">
        <f t="shared" si="38"/>
        <v>136225.0810881041</v>
      </c>
      <c r="AE72" s="1">
        <f t="shared" si="38"/>
        <v>147804.21298059294</v>
      </c>
      <c r="AF72" s="1">
        <f t="shared" si="38"/>
        <v>160367.57108394336</v>
      </c>
      <c r="AG72" s="1">
        <f t="shared" si="38"/>
        <v>173998.81462607853</v>
      </c>
      <c r="AH72" s="1">
        <f t="shared" si="38"/>
        <v>188788.7138692952</v>
      </c>
      <c r="AI72" s="1">
        <f t="shared" si="38"/>
        <v>204835.7545481853</v>
      </c>
      <c r="AJ72" s="1">
        <f t="shared" si="38"/>
        <v>222246.79368478103</v>
      </c>
    </row>
    <row r="73" spans="21:36" ht="12">
      <c r="U73" s="1">
        <f t="shared" si="32"/>
        <v>0.095</v>
      </c>
      <c r="V73" s="1">
        <f aca="true" t="shared" si="39" ref="V73:AJ73">(V47*(1+$G$9))/($L$28-$G$9)</f>
        <v>71581.95421214393</v>
      </c>
      <c r="W73" s="1">
        <f t="shared" si="39"/>
        <v>78382.2398622976</v>
      </c>
      <c r="X73" s="1">
        <f t="shared" si="39"/>
        <v>85828.55264921587</v>
      </c>
      <c r="Y73" s="1">
        <f t="shared" si="39"/>
        <v>93982.26515089138</v>
      </c>
      <c r="Z73" s="1">
        <f t="shared" si="39"/>
        <v>102910.58034022605</v>
      </c>
      <c r="AA73" s="1">
        <f t="shared" si="39"/>
        <v>112687.08547254751</v>
      </c>
      <c r="AB73" s="1">
        <f t="shared" si="39"/>
        <v>123392.35859243954</v>
      </c>
      <c r="AC73" s="1">
        <f t="shared" si="39"/>
        <v>135114.6326587213</v>
      </c>
      <c r="AD73" s="1">
        <f t="shared" si="39"/>
        <v>147950.5227612998</v>
      </c>
      <c r="AE73" s="1">
        <f t="shared" si="39"/>
        <v>162005.82242362326</v>
      </c>
      <c r="AF73" s="1">
        <f t="shared" si="39"/>
        <v>177396.37555386746</v>
      </c>
      <c r="AG73" s="1">
        <f t="shared" si="39"/>
        <v>194249.03123148487</v>
      </c>
      <c r="AH73" s="1">
        <f t="shared" si="39"/>
        <v>212702.6891984759</v>
      </c>
      <c r="AI73" s="1">
        <f t="shared" si="39"/>
        <v>232909.44467233113</v>
      </c>
      <c r="AJ73" s="1">
        <f t="shared" si="39"/>
        <v>255035.8419162026</v>
      </c>
    </row>
    <row r="74" spans="21:36" ht="12">
      <c r="U74" s="1">
        <f t="shared" si="32"/>
        <v>0.10500000000000001</v>
      </c>
      <c r="V74" s="1">
        <f aca="true" t="shared" si="40" ref="V74:AJ74">(V48*(1+$G$9))/($L$28-$G$9)</f>
        <v>72235.67068896716</v>
      </c>
      <c r="W74" s="1">
        <f t="shared" si="40"/>
        <v>79820.4161113087</v>
      </c>
      <c r="X74" s="1">
        <f t="shared" si="40"/>
        <v>88201.55980299613</v>
      </c>
      <c r="Y74" s="1">
        <f t="shared" si="40"/>
        <v>97462.72358231072</v>
      </c>
      <c r="Z74" s="1">
        <f t="shared" si="40"/>
        <v>107696.30955845333</v>
      </c>
      <c r="AA74" s="1">
        <f t="shared" si="40"/>
        <v>119004.42206209095</v>
      </c>
      <c r="AB74" s="1">
        <f t="shared" si="40"/>
        <v>131499.88637861048</v>
      </c>
      <c r="AC74" s="1">
        <f t="shared" si="40"/>
        <v>145307.3744483646</v>
      </c>
      <c r="AD74" s="1">
        <f t="shared" si="40"/>
        <v>160564.64876544286</v>
      </c>
      <c r="AE74" s="1">
        <f t="shared" si="40"/>
        <v>177423.93688581436</v>
      </c>
      <c r="AF74" s="1">
        <f t="shared" si="40"/>
        <v>196053.45025882486</v>
      </c>
      <c r="AG74" s="1">
        <f t="shared" si="40"/>
        <v>216639.06253600147</v>
      </c>
      <c r="AH74" s="1">
        <f t="shared" si="40"/>
        <v>239386.16410228162</v>
      </c>
      <c r="AI74" s="1">
        <f t="shared" si="40"/>
        <v>264521.71133302123</v>
      </c>
      <c r="AJ74" s="1">
        <f t="shared" si="40"/>
        <v>292296.4910229884</v>
      </c>
    </row>
    <row r="75" spans="21:36" ht="12">
      <c r="U75" s="1">
        <f t="shared" si="32"/>
        <v>0.115</v>
      </c>
      <c r="V75" s="1">
        <f aca="true" t="shared" si="41" ref="V75:AJ75">(V49*(1+$G$9))/($L$28-$G$9)</f>
        <v>72889.3871657904</v>
      </c>
      <c r="W75" s="1">
        <f t="shared" si="41"/>
        <v>81271.66668985628</v>
      </c>
      <c r="X75" s="1">
        <f t="shared" si="41"/>
        <v>90617.90835918977</v>
      </c>
      <c r="Y75" s="1">
        <f t="shared" si="41"/>
        <v>101038.96782049659</v>
      </c>
      <c r="Z75" s="1">
        <f t="shared" si="41"/>
        <v>112658.4491198537</v>
      </c>
      <c r="AA75" s="1">
        <f t="shared" si="41"/>
        <v>125614.17076863686</v>
      </c>
      <c r="AB75" s="1">
        <f t="shared" si="41"/>
        <v>140059.8004070301</v>
      </c>
      <c r="AC75" s="1">
        <f t="shared" si="41"/>
        <v>156166.67745383855</v>
      </c>
      <c r="AD75" s="1">
        <f t="shared" si="41"/>
        <v>174125.84536103</v>
      </c>
      <c r="AE75" s="1">
        <f t="shared" si="41"/>
        <v>194150.3175775484</v>
      </c>
      <c r="AF75" s="1">
        <f t="shared" si="41"/>
        <v>216477.60409896646</v>
      </c>
      <c r="AG75" s="1">
        <f t="shared" si="41"/>
        <v>241372.5285703476</v>
      </c>
      <c r="AH75" s="1">
        <f t="shared" si="41"/>
        <v>269130.3693559376</v>
      </c>
      <c r="AI75" s="1">
        <f t="shared" si="41"/>
        <v>300080.3618318704</v>
      </c>
      <c r="AJ75" s="1">
        <f t="shared" si="41"/>
        <v>334589.60344253544</v>
      </c>
    </row>
    <row r="76" spans="21:36" ht="12">
      <c r="U76" s="1">
        <f t="shared" si="32"/>
        <v>0.125</v>
      </c>
      <c r="V76" s="1">
        <f aca="true" t="shared" si="42" ref="V76:AJ76">(V50*(1+$G$9))/($L$28-$G$9)</f>
        <v>73543.10364261363</v>
      </c>
      <c r="W76" s="1">
        <f t="shared" si="42"/>
        <v>82735.99159794033</v>
      </c>
      <c r="X76" s="1">
        <f t="shared" si="42"/>
        <v>93077.99054768286</v>
      </c>
      <c r="Y76" s="1">
        <f t="shared" si="42"/>
        <v>104712.73936614321</v>
      </c>
      <c r="Z76" s="1">
        <f t="shared" si="42"/>
        <v>117801.8317869111</v>
      </c>
      <c r="AA76" s="1">
        <f t="shared" si="42"/>
        <v>132527.060760275</v>
      </c>
      <c r="AB76" s="1">
        <f t="shared" si="42"/>
        <v>149092.94335530937</v>
      </c>
      <c r="AC76" s="1">
        <f t="shared" si="42"/>
        <v>167729.56127472303</v>
      </c>
      <c r="AD76" s="1">
        <f t="shared" si="42"/>
        <v>188695.75643406343</v>
      </c>
      <c r="AE76" s="1">
        <f t="shared" si="42"/>
        <v>212282.72598832136</v>
      </c>
      <c r="AF76" s="1">
        <f t="shared" si="42"/>
        <v>238818.06673686154</v>
      </c>
      <c r="AG76" s="1">
        <f t="shared" si="42"/>
        <v>268670.3250789693</v>
      </c>
      <c r="AH76" s="1">
        <f t="shared" si="42"/>
        <v>302254.11571384047</v>
      </c>
      <c r="AI76" s="1">
        <f t="shared" si="42"/>
        <v>340035.88017807057</v>
      </c>
      <c r="AJ76" s="1">
        <f t="shared" si="42"/>
        <v>382540.36520032934</v>
      </c>
    </row>
    <row r="79" spans="19:36" ht="12">
      <c r="S79" s="1" t="s">
        <v>27</v>
      </c>
      <c r="V79" s="1" t="s">
        <v>4</v>
      </c>
      <c r="W79" s="1" t="s">
        <v>25</v>
      </c>
      <c r="X79" s="1" t="s">
        <v>24</v>
      </c>
      <c r="Y79" s="1" t="s">
        <v>23</v>
      </c>
      <c r="Z79" s="1" t="s">
        <v>22</v>
      </c>
      <c r="AA79" s="1" t="s">
        <v>21</v>
      </c>
      <c r="AB79" s="1" t="s">
        <v>20</v>
      </c>
      <c r="AC79" s="1" t="s">
        <v>19</v>
      </c>
      <c r="AD79" s="1" t="s">
        <v>18</v>
      </c>
      <c r="AE79" s="1" t="s">
        <v>17</v>
      </c>
      <c r="AF79" s="1" t="s">
        <v>16</v>
      </c>
      <c r="AG79" s="1" t="s">
        <v>15</v>
      </c>
      <c r="AH79" s="1" t="s">
        <v>14</v>
      </c>
      <c r="AI79" s="1" t="s">
        <v>13</v>
      </c>
      <c r="AJ79" s="1" t="s">
        <v>12</v>
      </c>
    </row>
    <row r="80" spans="21:36" ht="12">
      <c r="U80" s="1">
        <f aca="true" t="shared" si="43" ref="U80:U89">U67</f>
        <v>0.035</v>
      </c>
      <c r="V80" s="1">
        <f>V67/((1+$L$13)^1)</f>
        <v>63259.06261632482</v>
      </c>
      <c r="W80" s="1">
        <f aca="true" t="shared" si="44" ref="W80:W89">W67/((1+$L$14)^2)</f>
        <v>61100.44264229979</v>
      </c>
      <c r="X80" s="1">
        <f aca="true" t="shared" si="45" ref="X80:X89">X67/((1+$L$15)^3)</f>
        <v>58905.4368597868</v>
      </c>
      <c r="Y80" s="1">
        <f aca="true" t="shared" si="46" ref="Y80:Y89">Y67/((1+$L$16)^4)</f>
        <v>56430.57404269515</v>
      </c>
      <c r="Z80" s="1">
        <f aca="true" t="shared" si="47" ref="Z80:Z89">Z67/((1+$L$17)^5)</f>
        <v>53639.81752399846</v>
      </c>
      <c r="AA80" s="1">
        <f aca="true" t="shared" si="48" ref="AA80:AA89">AA67/((1+$L$18)^6)</f>
        <v>50903.40189706853</v>
      </c>
      <c r="AB80" s="1">
        <f aca="true" t="shared" si="49" ref="AB80:AB89">AB67/((1+$L$19)^7)</f>
        <v>48133.55376841365</v>
      </c>
      <c r="AC80" s="1">
        <f aca="true" t="shared" si="50" ref="AC80:AC89">AC67/((1+$L$20)^8)</f>
        <v>45364.38604478731</v>
      </c>
      <c r="AD80" s="1">
        <f aca="true" t="shared" si="51" ref="AD80:AD89">AD67/((1+$L$21)^9)</f>
        <v>42449.38743903003</v>
      </c>
      <c r="AE80" s="1">
        <f aca="true" t="shared" si="52" ref="AE80:AE89">AE67/((1+$L$22)^10)</f>
        <v>39906.25223455507</v>
      </c>
      <c r="AF80" s="1">
        <f aca="true" t="shared" si="53" ref="AF80:AF89">AF67/((1+$L$23)^11)</f>
        <v>37602.32534901968</v>
      </c>
      <c r="AG80" s="1">
        <f aca="true" t="shared" si="54" ref="AG80:AG89">AG67/((1+$L$24)^12)</f>
        <v>35133.77452747879</v>
      </c>
      <c r="AH80" s="1">
        <f aca="true" t="shared" si="55" ref="AH80:AH89">AH67/((1+$L$25)^13)</f>
        <v>32654.02790616753</v>
      </c>
      <c r="AI80" s="1">
        <f aca="true" t="shared" si="56" ref="AI80:AI89">AI67/((1+$L$26)^14)</f>
        <v>30601.16684190574</v>
      </c>
      <c r="AJ80" s="1">
        <f aca="true" t="shared" si="57" ref="AJ80:AJ89">AJ67/((1+$L$27)^15)</f>
        <v>28395.83574433556</v>
      </c>
    </row>
    <row r="81" spans="21:36" ht="12">
      <c r="U81" s="1">
        <f t="shared" si="43"/>
        <v>0.045000000000000005</v>
      </c>
      <c r="V81" s="1">
        <f aca="true" t="shared" si="58" ref="V81:V89">V68/((1+$L$13)^1)</f>
        <v>63870.26128894632</v>
      </c>
      <c r="W81" s="1">
        <f t="shared" si="44"/>
        <v>62286.831315976975</v>
      </c>
      <c r="X81" s="1">
        <f t="shared" si="45"/>
        <v>60629.390612751755</v>
      </c>
      <c r="Y81" s="1">
        <f t="shared" si="46"/>
        <v>58643.27700029387</v>
      </c>
      <c r="Z81" s="1">
        <f t="shared" si="47"/>
        <v>56281.67254232105</v>
      </c>
      <c r="AA81" s="1">
        <f t="shared" si="48"/>
        <v>53926.52697041167</v>
      </c>
      <c r="AB81" s="1">
        <f t="shared" si="49"/>
        <v>51484.857141869725</v>
      </c>
      <c r="AC81" s="1">
        <f t="shared" si="50"/>
        <v>48991.70599862874</v>
      </c>
      <c r="AD81" s="1">
        <f t="shared" si="51"/>
        <v>46286.55873161942</v>
      </c>
      <c r="AE81" s="1">
        <f t="shared" si="52"/>
        <v>43933.95995111733</v>
      </c>
      <c r="AF81" s="1">
        <f t="shared" si="53"/>
        <v>41797.475315932825</v>
      </c>
      <c r="AG81" s="1">
        <f t="shared" si="54"/>
        <v>39430.84623887251</v>
      </c>
      <c r="AH81" s="1">
        <f t="shared" si="55"/>
        <v>37001.89684451596</v>
      </c>
      <c r="AI81" s="1">
        <f t="shared" si="56"/>
        <v>35010.729165952296</v>
      </c>
      <c r="AJ81" s="1">
        <f t="shared" si="57"/>
        <v>32801.50459665219</v>
      </c>
    </row>
    <row r="82" spans="21:36" ht="12">
      <c r="U82" s="1">
        <f t="shared" si="43"/>
        <v>0.05500000000000001</v>
      </c>
      <c r="V82" s="1">
        <f t="shared" si="58"/>
        <v>64481.45996156783</v>
      </c>
      <c r="W82" s="1">
        <f t="shared" si="44"/>
        <v>63484.62757305489</v>
      </c>
      <c r="X82" s="1">
        <f t="shared" si="45"/>
        <v>62386.65645506232</v>
      </c>
      <c r="Y82" s="1">
        <f t="shared" si="46"/>
        <v>60920.42262763774</v>
      </c>
      <c r="Z82" s="1">
        <f t="shared" si="47"/>
        <v>59026.60990671261</v>
      </c>
      <c r="AA82" s="1">
        <f t="shared" si="48"/>
        <v>57097.81201778695</v>
      </c>
      <c r="AB82" s="1">
        <f t="shared" si="49"/>
        <v>55034.20488515091</v>
      </c>
      <c r="AC82" s="1">
        <f t="shared" si="50"/>
        <v>52870.317236400944</v>
      </c>
      <c r="AD82" s="1">
        <f t="shared" si="51"/>
        <v>50429.00695658551</v>
      </c>
      <c r="AE82" s="1">
        <f t="shared" si="52"/>
        <v>48323.90720242864</v>
      </c>
      <c r="AF82" s="1">
        <f t="shared" si="53"/>
        <v>46413.88384119627</v>
      </c>
      <c r="AG82" s="1">
        <f t="shared" si="54"/>
        <v>44204.871042666964</v>
      </c>
      <c r="AH82" s="1">
        <f t="shared" si="55"/>
        <v>41878.79601095197</v>
      </c>
      <c r="AI82" s="1">
        <f t="shared" si="56"/>
        <v>40004.37820581413</v>
      </c>
      <c r="AJ82" s="1">
        <f t="shared" si="57"/>
        <v>37838.70834124645</v>
      </c>
    </row>
    <row r="83" spans="21:36" ht="12">
      <c r="U83" s="1">
        <f t="shared" si="43"/>
        <v>0.065</v>
      </c>
      <c r="V83" s="1">
        <f t="shared" si="58"/>
        <v>65092.65863418931</v>
      </c>
      <c r="W83" s="1">
        <f t="shared" si="44"/>
        <v>64693.83141353356</v>
      </c>
      <c r="X83" s="1">
        <f t="shared" si="45"/>
        <v>64177.55316269312</v>
      </c>
      <c r="Y83" s="1">
        <f t="shared" si="46"/>
        <v>63263.250159552656</v>
      </c>
      <c r="Z83" s="1">
        <f t="shared" si="47"/>
        <v>61877.61723635512</v>
      </c>
      <c r="AA83" s="1">
        <f t="shared" si="48"/>
        <v>60423.0098937561</v>
      </c>
      <c r="AB83" s="1">
        <f t="shared" si="49"/>
        <v>58791.25530633206</v>
      </c>
      <c r="AC83" s="1">
        <f t="shared" si="50"/>
        <v>57014.996424995225</v>
      </c>
      <c r="AD83" s="1">
        <f t="shared" si="51"/>
        <v>54897.775824165525</v>
      </c>
      <c r="AE83" s="1">
        <f t="shared" si="52"/>
        <v>53104.76888196605</v>
      </c>
      <c r="AF83" s="1">
        <f t="shared" si="53"/>
        <v>51489.24700024506</v>
      </c>
      <c r="AG83" s="1">
        <f t="shared" si="54"/>
        <v>49503.50001244407</v>
      </c>
      <c r="AH83" s="1">
        <f t="shared" si="55"/>
        <v>47343.145941841794</v>
      </c>
      <c r="AI83" s="1">
        <f t="shared" si="56"/>
        <v>45652.818860199994</v>
      </c>
      <c r="AJ83" s="1">
        <f t="shared" si="57"/>
        <v>43590.66807008344</v>
      </c>
    </row>
    <row r="84" spans="21:36" ht="12">
      <c r="U84" s="1">
        <f t="shared" si="43"/>
        <v>0.07500000000000001</v>
      </c>
      <c r="V84" s="1">
        <f t="shared" si="58"/>
        <v>65703.85730681081</v>
      </c>
      <c r="W84" s="1">
        <f t="shared" si="44"/>
        <v>65914.44283741296</v>
      </c>
      <c r="X84" s="1">
        <f t="shared" si="45"/>
        <v>66002.39951161873</v>
      </c>
      <c r="Y84" s="1">
        <f t="shared" si="46"/>
        <v>65673.01063310094</v>
      </c>
      <c r="Z84" s="1">
        <f t="shared" si="47"/>
        <v>64837.73932715198</v>
      </c>
      <c r="AA84" s="1">
        <f t="shared" si="48"/>
        <v>63908.03938296556</v>
      </c>
      <c r="AB84" s="1">
        <f t="shared" si="49"/>
        <v>62766.03991308098</v>
      </c>
      <c r="AC84" s="1">
        <f t="shared" si="50"/>
        <v>61441.237347269394</v>
      </c>
      <c r="AD84" s="1">
        <f t="shared" si="51"/>
        <v>59715.14039714792</v>
      </c>
      <c r="AE84" s="1">
        <f t="shared" si="52"/>
        <v>58307.18676295178</v>
      </c>
      <c r="AF84" s="1">
        <f t="shared" si="53"/>
        <v>57064.23004723924</v>
      </c>
      <c r="AG84" s="1">
        <f t="shared" si="54"/>
        <v>55378.62690720095</v>
      </c>
      <c r="AH84" s="1">
        <f t="shared" si="55"/>
        <v>53459.17441314151</v>
      </c>
      <c r="AI84" s="1">
        <f t="shared" si="56"/>
        <v>52034.52436595537</v>
      </c>
      <c r="AJ84" s="1">
        <f t="shared" si="57"/>
        <v>50150.627592160294</v>
      </c>
    </row>
    <row r="85" spans="21:36" ht="12">
      <c r="U85" s="1">
        <f t="shared" si="43"/>
        <v>0.085</v>
      </c>
      <c r="V85" s="1">
        <f t="shared" si="58"/>
        <v>66315.05597943232</v>
      </c>
      <c r="W85" s="1">
        <f t="shared" si="44"/>
        <v>67146.46184469311</v>
      </c>
      <c r="X85" s="1">
        <f t="shared" si="45"/>
        <v>67861.51427781378</v>
      </c>
      <c r="Y85" s="1">
        <f t="shared" si="46"/>
        <v>68150.96688758135</v>
      </c>
      <c r="Z85" s="1">
        <f t="shared" si="47"/>
        <v>67910.07869368736</v>
      </c>
      <c r="AA85" s="1">
        <f t="shared" si="48"/>
        <v>67558.98836055383</v>
      </c>
      <c r="AB85" s="1">
        <f t="shared" si="49"/>
        <v>66968.97412523288</v>
      </c>
      <c r="AC85" s="1">
        <f t="shared" si="50"/>
        <v>66165.27847780322</v>
      </c>
      <c r="AD85" s="1">
        <f t="shared" si="51"/>
        <v>64904.666558436926</v>
      </c>
      <c r="AE85" s="1">
        <f t="shared" si="52"/>
        <v>63963.88402580209</v>
      </c>
      <c r="AF85" s="1">
        <f t="shared" si="53"/>
        <v>63182.6700763532</v>
      </c>
      <c r="AG85" s="1">
        <f t="shared" si="54"/>
        <v>61886.7206978248</v>
      </c>
      <c r="AH85" s="1">
        <f t="shared" si="55"/>
        <v>60297.4309218811</v>
      </c>
      <c r="AI85" s="1">
        <f t="shared" si="56"/>
        <v>59236.50463338223</v>
      </c>
      <c r="AJ85" s="1">
        <f t="shared" si="57"/>
        <v>57622.94907660344</v>
      </c>
    </row>
    <row r="86" spans="21:36" ht="12">
      <c r="U86" s="1">
        <f t="shared" si="43"/>
        <v>0.095</v>
      </c>
      <c r="V86" s="1">
        <f t="shared" si="58"/>
        <v>66926.2546520538</v>
      </c>
      <c r="W86" s="1">
        <f t="shared" si="44"/>
        <v>68389.888435374</v>
      </c>
      <c r="X86" s="1">
        <f t="shared" si="45"/>
        <v>69755.21623725281</v>
      </c>
      <c r="Y86" s="1">
        <f t="shared" si="46"/>
        <v>70698.39356452905</v>
      </c>
      <c r="Z86" s="1">
        <f t="shared" si="47"/>
        <v>71097.79611118574</v>
      </c>
      <c r="AA86" s="1">
        <f t="shared" si="48"/>
        <v>71382.11698237421</v>
      </c>
      <c r="AB86" s="1">
        <f t="shared" si="49"/>
        <v>71410.86819043485</v>
      </c>
      <c r="AC86" s="1">
        <f t="shared" si="50"/>
        <v>71204.13134642722</v>
      </c>
      <c r="AD86" s="1">
        <f t="shared" si="51"/>
        <v>70491.27275437645</v>
      </c>
      <c r="AE86" s="1">
        <f t="shared" si="52"/>
        <v>70109.78528988175</v>
      </c>
      <c r="AF86" s="1">
        <f t="shared" si="53"/>
        <v>69891.79042621968</v>
      </c>
      <c r="AG86" s="1">
        <f t="shared" si="54"/>
        <v>69089.18067907462</v>
      </c>
      <c r="AH86" s="1">
        <f t="shared" si="55"/>
        <v>67935.3412922921</v>
      </c>
      <c r="AI86" s="1">
        <f t="shared" si="56"/>
        <v>67355.14231352367</v>
      </c>
      <c r="AJ86" s="1">
        <f t="shared" si="57"/>
        <v>66124.3165212528</v>
      </c>
    </row>
    <row r="87" spans="21:36" ht="12">
      <c r="U87" s="1">
        <f t="shared" si="43"/>
        <v>0.10500000000000001</v>
      </c>
      <c r="V87" s="1">
        <f t="shared" si="58"/>
        <v>67537.4533246753</v>
      </c>
      <c r="W87" s="1">
        <f t="shared" si="44"/>
        <v>69644.72260945562</v>
      </c>
      <c r="X87" s="1">
        <f t="shared" si="45"/>
        <v>71683.82416591048</v>
      </c>
      <c r="Y87" s="1">
        <f t="shared" si="46"/>
        <v>73316.5771077157</v>
      </c>
      <c r="Z87" s="1">
        <f t="shared" si="47"/>
        <v>74404.1111574713</v>
      </c>
      <c r="AA87" s="1">
        <f t="shared" si="48"/>
        <v>75383.86090503231</v>
      </c>
      <c r="AB87" s="1">
        <f t="shared" si="49"/>
        <v>76102.938304767</v>
      </c>
      <c r="AC87" s="1">
        <f t="shared" si="50"/>
        <v>76575.60970438679</v>
      </c>
      <c r="AD87" s="1">
        <f t="shared" si="51"/>
        <v>76501.29407853706</v>
      </c>
      <c r="AE87" s="1">
        <f t="shared" si="52"/>
        <v>76782.14235920037</v>
      </c>
      <c r="AF87" s="1">
        <f t="shared" si="53"/>
        <v>77242.42738920118</v>
      </c>
      <c r="AG87" s="1">
        <f t="shared" si="54"/>
        <v>77052.71546944609</v>
      </c>
      <c r="AH87" s="1">
        <f t="shared" si="55"/>
        <v>76457.80511860906</v>
      </c>
      <c r="AI87" s="1">
        <f t="shared" si="56"/>
        <v>76497.10185397674</v>
      </c>
      <c r="AJ87" s="1">
        <f t="shared" si="57"/>
        <v>75785.05650514096</v>
      </c>
    </row>
    <row r="88" spans="21:36" ht="12">
      <c r="U88" s="1">
        <f t="shared" si="43"/>
        <v>0.115</v>
      </c>
      <c r="V88" s="1">
        <f t="shared" si="58"/>
        <v>68148.6519972968</v>
      </c>
      <c r="W88" s="1">
        <f t="shared" si="44"/>
        <v>70910.964366938</v>
      </c>
      <c r="X88" s="1">
        <f t="shared" si="45"/>
        <v>73647.65683976136</v>
      </c>
      <c r="Y88" s="1">
        <f t="shared" si="46"/>
        <v>76006.81576314937</v>
      </c>
      <c r="Z88" s="1">
        <f t="shared" si="47"/>
        <v>77832.30275492738</v>
      </c>
      <c r="AA88" s="1">
        <f t="shared" si="48"/>
        <v>79570.8345357391</v>
      </c>
      <c r="AB88" s="1">
        <f t="shared" si="49"/>
        <v>81056.81794024695</v>
      </c>
      <c r="AC88" s="1">
        <f t="shared" si="50"/>
        <v>82298.35950814397</v>
      </c>
      <c r="AD88" s="1">
        <f t="shared" si="51"/>
        <v>82962.54876188519</v>
      </c>
      <c r="AE88" s="1">
        <f t="shared" si="52"/>
        <v>84020.6658976192</v>
      </c>
      <c r="AF88" s="1">
        <f t="shared" si="53"/>
        <v>85289.26980845108</v>
      </c>
      <c r="AG88" s="1">
        <f t="shared" si="54"/>
        <v>85849.74726328971</v>
      </c>
      <c r="AH88" s="1">
        <f t="shared" si="55"/>
        <v>85957.838912209</v>
      </c>
      <c r="AI88" s="1">
        <f t="shared" si="56"/>
        <v>86780.31715336627</v>
      </c>
      <c r="AJ88" s="1">
        <f t="shared" si="57"/>
        <v>86750.58641374864</v>
      </c>
    </row>
    <row r="89" spans="21:36" ht="12">
      <c r="U89" s="1">
        <f t="shared" si="43"/>
        <v>0.125</v>
      </c>
      <c r="V89" s="1">
        <f t="shared" si="58"/>
        <v>68759.85066991829</v>
      </c>
      <c r="W89" s="1">
        <f t="shared" si="44"/>
        <v>72188.61370782113</v>
      </c>
      <c r="X89" s="1">
        <f t="shared" si="45"/>
        <v>75647.03303478003</v>
      </c>
      <c r="Y89" s="1">
        <f t="shared" si="46"/>
        <v>78770.41957907451</v>
      </c>
      <c r="Z89" s="1">
        <f t="shared" si="47"/>
        <v>81385.70971245588</v>
      </c>
      <c r="AA89" s="1">
        <f t="shared" si="48"/>
        <v>83949.83431197886</v>
      </c>
      <c r="AB89" s="1">
        <f t="shared" si="49"/>
        <v>86284.56938112469</v>
      </c>
      <c r="AC89" s="1">
        <f t="shared" si="50"/>
        <v>88391.88973595673</v>
      </c>
      <c r="AD89" s="1">
        <f t="shared" si="51"/>
        <v>89904.40713648002</v>
      </c>
      <c r="AE89" s="1">
        <f t="shared" si="52"/>
        <v>91867.66325518063</v>
      </c>
      <c r="AF89" s="1">
        <f t="shared" si="53"/>
        <v>94091.1121676171</v>
      </c>
      <c r="AG89" s="1">
        <f t="shared" si="54"/>
        <v>95558.8427638859</v>
      </c>
      <c r="AH89" s="1">
        <f t="shared" si="55"/>
        <v>96537.26798376007</v>
      </c>
      <c r="AI89" s="1">
        <f t="shared" si="56"/>
        <v>98335.06379837694</v>
      </c>
      <c r="AJ89" s="1">
        <f t="shared" si="57"/>
        <v>99183.0011052858</v>
      </c>
    </row>
    <row r="92" spans="19:36" ht="12">
      <c r="S92" s="1" t="s">
        <v>26</v>
      </c>
      <c r="V92" s="1" t="s">
        <v>4</v>
      </c>
      <c r="W92" s="1" t="s">
        <v>25</v>
      </c>
      <c r="X92" s="1" t="s">
        <v>24</v>
      </c>
      <c r="Y92" s="1" t="s">
        <v>23</v>
      </c>
      <c r="Z92" s="1" t="s">
        <v>22</v>
      </c>
      <c r="AA92" s="1" t="s">
        <v>21</v>
      </c>
      <c r="AB92" s="1" t="s">
        <v>20</v>
      </c>
      <c r="AC92" s="1" t="s">
        <v>19</v>
      </c>
      <c r="AD92" s="1" t="s">
        <v>18</v>
      </c>
      <c r="AE92" s="1" t="s">
        <v>17</v>
      </c>
      <c r="AF92" s="1" t="s">
        <v>16</v>
      </c>
      <c r="AG92" s="1" t="s">
        <v>15</v>
      </c>
      <c r="AH92" s="1" t="s">
        <v>14</v>
      </c>
      <c r="AI92" s="1" t="s">
        <v>13</v>
      </c>
      <c r="AJ92" s="1" t="s">
        <v>12</v>
      </c>
    </row>
    <row r="93" spans="21:36" ht="12">
      <c r="U93" s="1">
        <f aca="true" t="shared" si="59" ref="U93:U102">U80</f>
        <v>0.035</v>
      </c>
      <c r="V93" s="2">
        <f aca="true" t="shared" si="60" ref="V93:V102">V54+V80+$G$11</f>
        <v>80770.70330328084</v>
      </c>
      <c r="W93" s="2">
        <f aca="true" t="shared" si="61" ref="W93:W102">V54+W54+W80+$G$11</f>
        <v>83015.16728751114</v>
      </c>
      <c r="X93" s="2">
        <f aca="true" t="shared" si="62" ref="X93:X102">V54+W54+X54+X80+$G$11</f>
        <v>85065.06666239208</v>
      </c>
      <c r="Y93" s="2">
        <f aca="true" t="shared" si="63" ref="Y93:Y102">V54+W54+X54+Y54+Y80+$G$11</f>
        <v>86656.76285170796</v>
      </c>
      <c r="Z93" s="2">
        <f aca="true" t="shared" si="64" ref="Z93:Z102">V54+W54+X54+Y54+Z54+Z80+$G$11</f>
        <v>87731.4549263436</v>
      </c>
      <c r="AA93" s="2">
        <f aca="true" t="shared" si="65" ref="AA93:AA102">V54+W54+X54+Y54+Z54+AA54+AA80+$G$11</f>
        <v>88663.29344980899</v>
      </c>
      <c r="AB93" s="2">
        <f aca="true" t="shared" si="66" ref="AB93:AB102">V54+W54+X54+Y54+Z54+AA54+AB54+AB80+$G$11</f>
        <v>89362.09578073032</v>
      </c>
      <c r="AC93" s="2">
        <f aca="true" t="shared" si="67" ref="AC93:AC102">V54+W54+X54+Y54+Z54+AA54+AB54+AC54+AC80+$G$11</f>
        <v>89862.0238579194</v>
      </c>
      <c r="AD93" s="2">
        <f aca="true" t="shared" si="68" ref="AD93:AD102">V54+W54+X54+Y54+Z54+AA54+AB54+AC54+AD54+AD80+$G$11</f>
        <v>90006.05737677004</v>
      </c>
      <c r="AE93" s="2">
        <f aca="true" t="shared" si="69" ref="AE93:AE102">V54+W54+X54+Y54+Z54+AA54+AB54+AC54+AD54+AE54+AE80+$G$11</f>
        <v>90338.6882297805</v>
      </c>
      <c r="AF93" s="2">
        <f aca="true" t="shared" si="70" ref="AF93:AF102">V54+W54+X54+Y54+Z54+AA54+AB54+AC54+AD54+AE54+AF54+AF80+$G$11</f>
        <v>90744.49941450165</v>
      </c>
      <c r="AG93" s="2">
        <f aca="true" t="shared" si="71" ref="AG93:AG102">V54+W54+X54+Y54+Z54+AA54+AB54+AC54+AD54+AE54+AF54+AG54+AG80+$G$11</f>
        <v>90807.79537385143</v>
      </c>
      <c r="AH93" s="2">
        <f aca="true" t="shared" si="72" ref="AH93:AH102">V54+W54+X54+Y54+Z54+AA54+AB54+AC54+AD54+AE54+AF54+AG54+AH54+AH80+$G$11</f>
        <v>90681.19744064036</v>
      </c>
      <c r="AI93" s="2">
        <f aca="true" t="shared" si="73" ref="AI93:AI102">V54+W54+X54+Y54+Z54+AA54+AB54+AC54+AD54+AE54+AF54+AG54+AH54+AI54+AI80+$G$11</f>
        <v>90833.54964486987</v>
      </c>
      <c r="AJ93" s="2">
        <f aca="true" t="shared" si="74" ref="AJ93:AJ102">V54+W54+X54+Y54+Z54+AA54+AB54+AC54+AD54+AE54+AF54+AG54+AH54+AI54+AJ54+AJ80+$G$11</f>
        <v>90674.50894128416</v>
      </c>
    </row>
    <row r="94" spans="21:36" ht="12">
      <c r="U94" s="1">
        <f t="shared" si="59"/>
        <v>0.045000000000000005</v>
      </c>
      <c r="V94" s="2">
        <f t="shared" si="60"/>
        <v>81425.94681345746</v>
      </c>
      <c r="W94" s="2">
        <f t="shared" si="61"/>
        <v>84331.09557932803</v>
      </c>
      <c r="X94" s="2">
        <f t="shared" si="62"/>
        <v>87042.79339067375</v>
      </c>
      <c r="Y94" s="2">
        <f t="shared" si="63"/>
        <v>89282.69289781246</v>
      </c>
      <c r="Z94" s="2">
        <f t="shared" si="64"/>
        <v>90976.9171506993</v>
      </c>
      <c r="AA94" s="2">
        <f t="shared" si="65"/>
        <v>92507.88132791083</v>
      </c>
      <c r="AB94" s="2">
        <f t="shared" si="66"/>
        <v>93776.3670853367</v>
      </c>
      <c r="AC94" s="2">
        <f t="shared" si="67"/>
        <v>94813.70746460368</v>
      </c>
      <c r="AD94" s="2">
        <f t="shared" si="68"/>
        <v>95444.11057039877</v>
      </c>
      <c r="AE94" s="2">
        <f t="shared" si="69"/>
        <v>96257.52673050654</v>
      </c>
      <c r="AF94" s="2">
        <f t="shared" si="70"/>
        <v>97133.09544715402</v>
      </c>
      <c r="AG94" s="2">
        <f t="shared" si="71"/>
        <v>97607.97322383648</v>
      </c>
      <c r="AH94" s="2">
        <f t="shared" si="72"/>
        <v>97845.49319329296</v>
      </c>
      <c r="AI94" s="2">
        <f t="shared" si="73"/>
        <v>98377.3052721739</v>
      </c>
      <c r="AJ94" s="2">
        <f t="shared" si="74"/>
        <v>98531.8570103824</v>
      </c>
    </row>
    <row r="95" spans="21:36" ht="12">
      <c r="U95" s="1">
        <f t="shared" si="59"/>
        <v>0.05500000000000001</v>
      </c>
      <c r="V95" s="2">
        <f t="shared" si="60"/>
        <v>82081.1903236341</v>
      </c>
      <c r="W95" s="2">
        <f t="shared" si="61"/>
        <v>85659.25351974358</v>
      </c>
      <c r="X95" s="2">
        <f t="shared" si="62"/>
        <v>89057.0548440983</v>
      </c>
      <c r="Y95" s="2">
        <f t="shared" si="63"/>
        <v>91980.9321844803</v>
      </c>
      <c r="Z95" s="2">
        <f t="shared" si="64"/>
        <v>94340.75671970354</v>
      </c>
      <c r="AA95" s="2">
        <f t="shared" si="65"/>
        <v>96526.60103752595</v>
      </c>
      <c r="AB95" s="2">
        <f t="shared" si="66"/>
        <v>98428.9262976184</v>
      </c>
      <c r="AC95" s="2">
        <f t="shared" si="67"/>
        <v>100075.03470821459</v>
      </c>
      <c r="AD95" s="2">
        <f t="shared" si="68"/>
        <v>101267.79223476833</v>
      </c>
      <c r="AE95" s="2">
        <f t="shared" si="69"/>
        <v>102645.06038830204</v>
      </c>
      <c r="AF95" s="2">
        <f t="shared" si="70"/>
        <v>104079.76283499724</v>
      </c>
      <c r="AG95" s="2">
        <f t="shared" si="71"/>
        <v>105056.28765530614</v>
      </c>
      <c r="AH95" s="2">
        <f t="shared" si="72"/>
        <v>105748.12619234185</v>
      </c>
      <c r="AI95" s="2">
        <f t="shared" si="73"/>
        <v>106756.54570098897</v>
      </c>
      <c r="AJ95" s="2">
        <f t="shared" si="74"/>
        <v>107317.64838492495</v>
      </c>
    </row>
    <row r="96" spans="21:36" ht="12">
      <c r="U96" s="1">
        <f t="shared" si="59"/>
        <v>0.065</v>
      </c>
      <c r="V96" s="2">
        <f t="shared" si="60"/>
        <v>82736.43383381072</v>
      </c>
      <c r="W96" s="2">
        <f t="shared" si="61"/>
        <v>86999.64110875782</v>
      </c>
      <c r="X96" s="2">
        <f t="shared" si="62"/>
        <v>91108.19277060778</v>
      </c>
      <c r="Y96" s="2">
        <f t="shared" si="63"/>
        <v>94752.83222154013</v>
      </c>
      <c r="Z96" s="2">
        <f t="shared" si="64"/>
        <v>97826.28882447707</v>
      </c>
      <c r="AA96" s="2">
        <f t="shared" si="65"/>
        <v>100725.94757337305</v>
      </c>
      <c r="AB96" s="2">
        <f t="shared" si="66"/>
        <v>103330.86987289833</v>
      </c>
      <c r="AC96" s="2">
        <f t="shared" si="67"/>
        <v>105663.28525450514</v>
      </c>
      <c r="AD96" s="2">
        <f t="shared" si="68"/>
        <v>107502.16555281916</v>
      </c>
      <c r="AE96" s="2">
        <f t="shared" si="69"/>
        <v>109536.0499694912</v>
      </c>
      <c r="AF96" s="2">
        <f t="shared" si="70"/>
        <v>111631.00002030045</v>
      </c>
      <c r="AG96" s="2">
        <f t="shared" si="71"/>
        <v>113212.62599014454</v>
      </c>
      <c r="AH96" s="2">
        <f t="shared" si="72"/>
        <v>114463.96318420672</v>
      </c>
      <c r="AI96" s="2">
        <f t="shared" si="73"/>
        <v>116063.51725038694</v>
      </c>
      <c r="AJ96" s="2">
        <f t="shared" si="74"/>
        <v>117142.6427425496</v>
      </c>
    </row>
    <row r="97" spans="21:36" ht="12">
      <c r="U97" s="1">
        <f t="shared" si="59"/>
        <v>0.07500000000000001</v>
      </c>
      <c r="V97" s="2">
        <f t="shared" si="60"/>
        <v>83391.67734398734</v>
      </c>
      <c r="W97" s="2">
        <f t="shared" si="61"/>
        <v>88352.25834637071</v>
      </c>
      <c r="X97" s="2">
        <f t="shared" si="62"/>
        <v>93196.54891814428</v>
      </c>
      <c r="Y97" s="2">
        <f t="shared" si="63"/>
        <v>97599.75717156203</v>
      </c>
      <c r="Z97" s="2">
        <f t="shared" si="64"/>
        <v>101436.89080369583</v>
      </c>
      <c r="AA97" s="2">
        <f t="shared" si="65"/>
        <v>105112.59878851642</v>
      </c>
      <c r="AB97" s="2">
        <f t="shared" si="66"/>
        <v>108493.71128825242</v>
      </c>
      <c r="AC97" s="2">
        <f t="shared" si="67"/>
        <v>111596.5513849153</v>
      </c>
      <c r="AD97" s="2">
        <f t="shared" si="68"/>
        <v>114173.70929477777</v>
      </c>
      <c r="AE97" s="2">
        <f t="shared" si="69"/>
        <v>116967.54909422225</v>
      </c>
      <c r="AF97" s="2">
        <f t="shared" si="70"/>
        <v>119836.8145661972</v>
      </c>
      <c r="AG97" s="2">
        <f t="shared" si="71"/>
        <v>122141.96391862116</v>
      </c>
      <c r="AH97" s="2">
        <f t="shared" si="72"/>
        <v>124074.94232523609</v>
      </c>
      <c r="AI97" s="2">
        <f t="shared" si="73"/>
        <v>126400.05855801745</v>
      </c>
      <c r="AJ97" s="2">
        <f t="shared" si="74"/>
        <v>128130.16872587761</v>
      </c>
    </row>
    <row r="98" spans="21:36" ht="12">
      <c r="U98" s="1">
        <f t="shared" si="59"/>
        <v>0.085</v>
      </c>
      <c r="V98" s="2">
        <f t="shared" si="60"/>
        <v>84046.92085416398</v>
      </c>
      <c r="W98" s="2">
        <f t="shared" si="61"/>
        <v>89717.10523258228</v>
      </c>
      <c r="X98" s="2">
        <f t="shared" si="62"/>
        <v>95322.46503464987</v>
      </c>
      <c r="Y98" s="2">
        <f t="shared" si="63"/>
        <v>100523.08384985765</v>
      </c>
      <c r="Z98" s="2">
        <f t="shared" si="64"/>
        <v>105176.0027246055</v>
      </c>
      <c r="AA98" s="2">
        <f t="shared" si="65"/>
        <v>109693.41882157723</v>
      </c>
      <c r="AB98" s="2">
        <f t="shared" si="66"/>
        <v>113929.39279386857</v>
      </c>
      <c r="AC98" s="2">
        <f t="shared" si="67"/>
        <v>117893.7685983047</v>
      </c>
      <c r="AD98" s="2">
        <f t="shared" si="68"/>
        <v>121310.3845971126</v>
      </c>
      <c r="AE98" s="2">
        <f t="shared" si="69"/>
        <v>124979.0343285042</v>
      </c>
      <c r="AF98" s="2">
        <f t="shared" si="70"/>
        <v>128750.95598695244</v>
      </c>
      <c r="AG98" s="2">
        <f t="shared" si="71"/>
        <v>131914.75215771364</v>
      </c>
      <c r="AH98" s="2">
        <f t="shared" si="72"/>
        <v>134670.67887014186</v>
      </c>
      <c r="AI98" s="2">
        <f t="shared" si="73"/>
        <v>137878.51549096103</v>
      </c>
      <c r="AJ98" s="2">
        <f t="shared" si="74"/>
        <v>140417.44511652208</v>
      </c>
    </row>
    <row r="99" spans="21:36" ht="12">
      <c r="U99" s="1">
        <f t="shared" si="59"/>
        <v>0.095</v>
      </c>
      <c r="V99" s="2">
        <f t="shared" si="60"/>
        <v>84702.1643643406</v>
      </c>
      <c r="W99" s="2">
        <f t="shared" si="61"/>
        <v>91094.18176739251</v>
      </c>
      <c r="X99" s="2">
        <f t="shared" si="62"/>
        <v>97486.28286806653</v>
      </c>
      <c r="Y99" s="2">
        <f t="shared" si="63"/>
        <v>103524.20172448012</v>
      </c>
      <c r="Z99" s="2">
        <f t="shared" si="64"/>
        <v>109047.12796403634</v>
      </c>
      <c r="AA99" s="2">
        <f t="shared" si="65"/>
        <v>114475.46155590855</v>
      </c>
      <c r="AB99" s="2">
        <f t="shared" si="66"/>
        <v>119650.29738425821</v>
      </c>
      <c r="AC99" s="2">
        <f t="shared" si="67"/>
        <v>124574.74707401084</v>
      </c>
      <c r="AD99" s="2">
        <f t="shared" si="68"/>
        <v>128941.70425479903</v>
      </c>
      <c r="AE99" s="2">
        <f t="shared" si="69"/>
        <v>133612.54141475627</v>
      </c>
      <c r="AF99" s="2">
        <f t="shared" si="70"/>
        <v>138431.16180183846</v>
      </c>
      <c r="AG99" s="2">
        <f t="shared" si="71"/>
        <v>142607.32880297242</v>
      </c>
      <c r="AH99" s="2">
        <f t="shared" si="72"/>
        <v>146349.1169846162</v>
      </c>
      <c r="AI99" s="2">
        <f t="shared" si="73"/>
        <v>150622.73466905745</v>
      </c>
      <c r="AJ99" s="2">
        <f t="shared" si="74"/>
        <v>154157.0284853271</v>
      </c>
    </row>
    <row r="100" spans="21:36" ht="12">
      <c r="U100" s="1">
        <f t="shared" si="59"/>
        <v>0.10500000000000001</v>
      </c>
      <c r="V100" s="2">
        <f t="shared" si="60"/>
        <v>85357.40787451723</v>
      </c>
      <c r="W100" s="2">
        <f t="shared" si="61"/>
        <v>92483.48795080141</v>
      </c>
      <c r="X100" s="2">
        <f t="shared" si="62"/>
        <v>99688.34416633638</v>
      </c>
      <c r="Y100" s="2">
        <f t="shared" si="63"/>
        <v>106604.51291622424</v>
      </c>
      <c r="Z100" s="2">
        <f t="shared" si="64"/>
        <v>113053.83378941778</v>
      </c>
      <c r="AA100" s="2">
        <f t="shared" si="65"/>
        <v>119465.974110734</v>
      </c>
      <c r="AB100" s="2">
        <f t="shared" si="66"/>
        <v>125669.26099136422</v>
      </c>
      <c r="AC100" s="2">
        <f t="shared" si="67"/>
        <v>131660.20401230262</v>
      </c>
      <c r="AD100" s="2">
        <f t="shared" si="68"/>
        <v>137098.80459746876</v>
      </c>
      <c r="AE100" s="2">
        <f t="shared" si="69"/>
        <v>142912.8078714843</v>
      </c>
      <c r="AF100" s="2">
        <f t="shared" si="70"/>
        <v>148939.41743574702</v>
      </c>
      <c r="AG100" s="2">
        <f t="shared" si="71"/>
        <v>154302.35883161053</v>
      </c>
      <c r="AH100" s="2">
        <f t="shared" si="72"/>
        <v>159217.23074490554</v>
      </c>
      <c r="AI100" s="2">
        <f t="shared" si="73"/>
        <v>164769.14158682124</v>
      </c>
      <c r="AJ100" s="2">
        <f t="shared" si="74"/>
        <v>169518.39818839473</v>
      </c>
    </row>
    <row r="101" spans="21:36" ht="12">
      <c r="U101" s="1">
        <f t="shared" si="59"/>
        <v>0.115</v>
      </c>
      <c r="V101" s="2">
        <f t="shared" si="60"/>
        <v>86012.65138469385</v>
      </c>
      <c r="W101" s="2">
        <f t="shared" si="61"/>
        <v>93885.023782809</v>
      </c>
      <c r="X101" s="2">
        <f t="shared" si="62"/>
        <v>101928.99067740145</v>
      </c>
      <c r="Y101" s="2">
        <f t="shared" si="63"/>
        <v>109765.43219862622</v>
      </c>
      <c r="Z101" s="2">
        <f t="shared" si="64"/>
        <v>117199.7519397932</v>
      </c>
      <c r="AA101" s="2">
        <f t="shared" si="65"/>
        <v>124672.40036425016</v>
      </c>
      <c r="AB101" s="2">
        <f t="shared" si="66"/>
        <v>131999.58490160946</v>
      </c>
      <c r="AC101" s="2">
        <f t="shared" si="67"/>
        <v>139171.79686845007</v>
      </c>
      <c r="AD101" s="2">
        <f t="shared" si="68"/>
        <v>145814.52002133103</v>
      </c>
      <c r="AE101" s="2">
        <f t="shared" si="69"/>
        <v>152927.4221991561</v>
      </c>
      <c r="AF101" s="2">
        <f t="shared" si="70"/>
        <v>160342.23061301262</v>
      </c>
      <c r="AG101" s="2">
        <f t="shared" si="71"/>
        <v>167089.3022830227</v>
      </c>
      <c r="AH101" s="2">
        <f t="shared" si="72"/>
        <v>173391.7775604924</v>
      </c>
      <c r="AI101" s="2">
        <f t="shared" si="73"/>
        <v>180467.90971684683</v>
      </c>
      <c r="AJ101" s="2">
        <f t="shared" si="74"/>
        <v>186689.69040479424</v>
      </c>
    </row>
    <row r="102" spans="21:36" ht="12">
      <c r="U102" s="1">
        <f t="shared" si="59"/>
        <v>0.125</v>
      </c>
      <c r="V102" s="2">
        <f t="shared" si="60"/>
        <v>86667.89489487048</v>
      </c>
      <c r="W102" s="2">
        <f t="shared" si="61"/>
        <v>95298.78926341527</v>
      </c>
      <c r="X102" s="2">
        <f t="shared" si="62"/>
        <v>104208.5641492038</v>
      </c>
      <c r="Y102" s="2">
        <f t="shared" si="63"/>
        <v>113008.38699796383</v>
      </c>
      <c r="Z102" s="2">
        <f t="shared" si="64"/>
        <v>121488.5792068345</v>
      </c>
      <c r="AA102" s="2">
        <f t="shared" si="65"/>
        <v>130102.38450869282</v>
      </c>
      <c r="AB102" s="2">
        <f t="shared" si="66"/>
        <v>138655.04839893008</v>
      </c>
      <c r="AC102" s="2">
        <f t="shared" si="67"/>
        <v>147132.15749677893</v>
      </c>
      <c r="AD102" s="2">
        <f t="shared" si="68"/>
        <v>155123.46025007873</v>
      </c>
      <c r="AE102" s="2">
        <f t="shared" si="69"/>
        <v>163706.979935925</v>
      </c>
      <c r="AF102" s="2">
        <f t="shared" si="70"/>
        <v>172710.92091492505</v>
      </c>
      <c r="AG102" s="2">
        <f t="shared" si="71"/>
        <v>181064.91271401898</v>
      </c>
      <c r="AH102" s="2">
        <f t="shared" si="72"/>
        <v>189000.107437537</v>
      </c>
      <c r="AI102" s="2">
        <f t="shared" si="73"/>
        <v>197884.22739679925</v>
      </c>
      <c r="AJ102" s="2">
        <f t="shared" si="74"/>
        <v>205879.59379280556</v>
      </c>
    </row>
  </sheetData>
  <sheetProtection password="868B" sheet="1"/>
  <mergeCells count="1">
    <mergeCell ref="E8:G8"/>
  </mergeCells>
  <printOptions/>
  <pageMargins left="0.25" right="0.25" top="0.25" bottom="0.2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Q25"/>
  <sheetViews>
    <sheetView zoomScale="130" zoomScaleNormal="130" zoomScalePageLayoutView="0" workbookViewId="0" topLeftCell="A1">
      <selection activeCell="F25" sqref="F25"/>
    </sheetView>
  </sheetViews>
  <sheetFormatPr defaultColWidth="9.140625" defaultRowHeight="12.75"/>
  <cols>
    <col min="1" max="1" width="3.28125" style="0" customWidth="1"/>
    <col min="2" max="2" width="7.8515625" style="0" customWidth="1"/>
    <col min="3" max="17" width="8.28125" style="0" customWidth="1"/>
    <col min="18" max="39" width="9.140625" style="20" customWidth="1"/>
  </cols>
  <sheetData>
    <row r="1" spans="1:17" ht="18">
      <c r="A1" s="26" t="s">
        <v>47</v>
      </c>
      <c r="B1" s="20"/>
      <c r="C1" s="20"/>
      <c r="D1" s="20"/>
      <c r="E1" s="20"/>
      <c r="F1" s="20"/>
      <c r="G1" s="20"/>
      <c r="H1" s="20"/>
      <c r="I1" s="20"/>
      <c r="J1" s="20"/>
      <c r="K1" s="20"/>
      <c r="L1" s="20"/>
      <c r="M1" s="20"/>
      <c r="N1" s="20"/>
      <c r="O1" s="20"/>
      <c r="P1" s="20"/>
      <c r="Q1" s="20"/>
    </row>
    <row r="2" spans="1:17" ht="12.75">
      <c r="A2" s="25" t="s">
        <v>48</v>
      </c>
      <c r="B2" s="20"/>
      <c r="C2" s="20"/>
      <c r="D2" s="20"/>
      <c r="E2" s="20"/>
      <c r="F2" s="20"/>
      <c r="G2" s="20"/>
      <c r="H2" s="20"/>
      <c r="I2" s="20"/>
      <c r="J2" s="20"/>
      <c r="K2" s="20"/>
      <c r="L2" s="20"/>
      <c r="M2" s="20"/>
      <c r="N2" s="20"/>
      <c r="O2" s="20"/>
      <c r="P2" s="20"/>
      <c r="Q2" s="20"/>
    </row>
    <row r="3" spans="1:17" ht="12.75">
      <c r="A3" s="20"/>
      <c r="B3" s="20"/>
      <c r="C3" s="20"/>
      <c r="D3" s="20"/>
      <c r="E3" s="20"/>
      <c r="F3" s="20"/>
      <c r="G3" s="20"/>
      <c r="H3" s="20"/>
      <c r="I3" s="20"/>
      <c r="J3" s="20"/>
      <c r="K3" s="20"/>
      <c r="L3" s="20"/>
      <c r="M3" s="20"/>
      <c r="N3" s="20"/>
      <c r="O3" s="20"/>
      <c r="P3" s="20"/>
      <c r="Q3" s="20"/>
    </row>
    <row r="4" spans="1:17" ht="12.75">
      <c r="A4" s="20"/>
      <c r="B4" s="20"/>
      <c r="C4" s="20"/>
      <c r="D4" s="20"/>
      <c r="E4" s="20"/>
      <c r="F4" s="20"/>
      <c r="G4" s="20"/>
      <c r="H4" s="20"/>
      <c r="I4" s="20"/>
      <c r="J4" s="20"/>
      <c r="K4" s="20"/>
      <c r="L4" s="20"/>
      <c r="M4" s="20"/>
      <c r="N4" s="20"/>
      <c r="O4" s="20"/>
      <c r="P4" s="20"/>
      <c r="Q4" s="20"/>
    </row>
    <row r="5" spans="1:17" ht="12.75">
      <c r="A5" s="27" t="s">
        <v>83</v>
      </c>
      <c r="B5" s="20"/>
      <c r="C5" s="20"/>
      <c r="D5" s="20"/>
      <c r="E5" s="20"/>
      <c r="F5" s="20"/>
      <c r="G5" s="20"/>
      <c r="H5" s="20"/>
      <c r="I5" s="20"/>
      <c r="J5" s="20"/>
      <c r="K5" s="20"/>
      <c r="L5" s="20"/>
      <c r="M5" s="20"/>
      <c r="N5" s="20"/>
      <c r="O5" s="20"/>
      <c r="P5" s="20"/>
      <c r="Q5" s="20"/>
    </row>
    <row r="6" spans="1:17" ht="12.75">
      <c r="A6" s="27"/>
      <c r="B6" s="20"/>
      <c r="C6" s="20"/>
      <c r="D6" s="20"/>
      <c r="E6" s="20"/>
      <c r="F6" s="20"/>
      <c r="G6" s="20"/>
      <c r="H6" s="20"/>
      <c r="I6" s="20"/>
      <c r="J6" s="20"/>
      <c r="K6" s="20"/>
      <c r="L6" s="20"/>
      <c r="M6" s="20"/>
      <c r="N6" s="20"/>
      <c r="O6" s="20"/>
      <c r="P6" s="20"/>
      <c r="Q6" s="20"/>
    </row>
    <row r="7" spans="2:17" ht="12.75">
      <c r="B7" s="20"/>
      <c r="C7" s="20"/>
      <c r="D7" s="20"/>
      <c r="E7" s="20"/>
      <c r="F7" s="20"/>
      <c r="G7" s="20"/>
      <c r="H7" s="20"/>
      <c r="I7" s="20"/>
      <c r="J7" s="20"/>
      <c r="K7" s="20"/>
      <c r="L7" s="20"/>
      <c r="M7" s="20"/>
      <c r="N7" s="20"/>
      <c r="O7" s="20"/>
      <c r="P7" s="20"/>
      <c r="Q7" s="20"/>
    </row>
    <row r="8" spans="1:17" ht="15.75">
      <c r="A8" s="131" t="str">
        <f>"Per Share Intrinsic Value for "&amp;Inputs!E8</f>
        <v>Per Share Intrinsic Value for Hewlett Packard Company</v>
      </c>
      <c r="B8" s="131"/>
      <c r="C8" s="131"/>
      <c r="D8" s="131"/>
      <c r="E8" s="131"/>
      <c r="F8" s="131"/>
      <c r="G8" s="131"/>
      <c r="H8" s="131"/>
      <c r="I8" s="131"/>
      <c r="J8" s="131"/>
      <c r="K8" s="131"/>
      <c r="L8" s="131"/>
      <c r="M8" s="131"/>
      <c r="N8" s="131"/>
      <c r="O8" s="131"/>
      <c r="P8" s="131"/>
      <c r="Q8" s="131"/>
    </row>
    <row r="9" spans="1:17" ht="12.75">
      <c r="A9" s="20"/>
      <c r="B9" s="20"/>
      <c r="C9" s="20"/>
      <c r="D9" s="20"/>
      <c r="E9" s="20"/>
      <c r="F9" s="20"/>
      <c r="G9" s="20"/>
      <c r="H9" s="20"/>
      <c r="I9" s="20"/>
      <c r="J9" s="20"/>
      <c r="K9" s="20"/>
      <c r="L9" s="20"/>
      <c r="M9" s="20"/>
      <c r="N9" s="20"/>
      <c r="O9" s="20"/>
      <c r="P9" s="20"/>
      <c r="Q9" s="20"/>
    </row>
    <row r="10" spans="1:17" ht="12.75">
      <c r="A10" s="20"/>
      <c r="B10" s="20"/>
      <c r="C10" s="20"/>
      <c r="D10" s="20"/>
      <c r="E10" s="20"/>
      <c r="F10" s="20"/>
      <c r="G10" s="20"/>
      <c r="H10" s="20"/>
      <c r="I10" s="20"/>
      <c r="J10" s="20"/>
      <c r="K10" s="20"/>
      <c r="L10" s="20"/>
      <c r="M10" s="20"/>
      <c r="N10" s="20"/>
      <c r="O10" s="20"/>
      <c r="P10" s="20"/>
      <c r="Q10" s="20"/>
    </row>
    <row r="11" spans="1:17" ht="14.25" customHeight="1">
      <c r="A11" s="23"/>
      <c r="B11" s="24"/>
      <c r="C11" s="129" t="s">
        <v>41</v>
      </c>
      <c r="D11" s="129"/>
      <c r="E11" s="129"/>
      <c r="F11" s="129"/>
      <c r="G11" s="129"/>
      <c r="H11" s="129"/>
      <c r="I11" s="129"/>
      <c r="J11" s="129"/>
      <c r="K11" s="129"/>
      <c r="L11" s="129"/>
      <c r="M11" s="129"/>
      <c r="N11" s="129"/>
      <c r="O11" s="129"/>
      <c r="P11" s="129"/>
      <c r="Q11" s="129"/>
    </row>
    <row r="12" spans="1:17" ht="12.75">
      <c r="A12" s="23"/>
      <c r="B12" s="15"/>
      <c r="C12" s="17" t="s">
        <v>4</v>
      </c>
      <c r="D12" s="16" t="s">
        <v>25</v>
      </c>
      <c r="E12" s="17" t="s">
        <v>24</v>
      </c>
      <c r="F12" s="16" t="s">
        <v>23</v>
      </c>
      <c r="G12" s="17" t="s">
        <v>22</v>
      </c>
      <c r="H12" s="16" t="s">
        <v>21</v>
      </c>
      <c r="I12" s="17" t="s">
        <v>20</v>
      </c>
      <c r="J12" s="16" t="s">
        <v>19</v>
      </c>
      <c r="K12" s="17" t="s">
        <v>18</v>
      </c>
      <c r="L12" s="16" t="s">
        <v>17</v>
      </c>
      <c r="M12" s="17" t="s">
        <v>16</v>
      </c>
      <c r="N12" s="16" t="s">
        <v>15</v>
      </c>
      <c r="O12" s="17" t="s">
        <v>14</v>
      </c>
      <c r="P12" s="16" t="s">
        <v>13</v>
      </c>
      <c r="Q12" s="17" t="s">
        <v>12</v>
      </c>
    </row>
    <row r="13" spans="1:17" ht="16.5">
      <c r="A13" s="130" t="s">
        <v>46</v>
      </c>
      <c r="B13" s="21">
        <f>Inputs!U93</f>
        <v>0.035</v>
      </c>
      <c r="C13" s="18">
        <f>Inputs!V93/Inputs!$G$14</f>
        <v>38.8320688958081</v>
      </c>
      <c r="D13" s="19">
        <f>Inputs!W93/Inputs!$G$14</f>
        <v>39.91113811899574</v>
      </c>
      <c r="E13" s="18">
        <f>Inputs!X93/Inputs!$G$14</f>
        <v>40.89666666461158</v>
      </c>
      <c r="F13" s="19">
        <f>Inputs!Y93/Inputs!$G$14</f>
        <v>41.66190521716729</v>
      </c>
      <c r="G13" s="18">
        <f>Inputs!Z93/Inputs!$G$14</f>
        <v>42.178584099203654</v>
      </c>
      <c r="H13" s="19">
        <f>Inputs!AA93/Inputs!$G$14</f>
        <v>42.626583389331245</v>
      </c>
      <c r="I13" s="18">
        <f>Inputs!AB93/Inputs!$G$14</f>
        <v>42.96254604842804</v>
      </c>
      <c r="J13" s="19">
        <f>Inputs!AC93/Inputs!$G$14</f>
        <v>43.20289608553817</v>
      </c>
      <c r="K13" s="18">
        <f>Inputs!AD93/Inputs!$G$14</f>
        <v>43.27214296960098</v>
      </c>
      <c r="L13" s="19">
        <f>Inputs!AE93/Inputs!$G$14</f>
        <v>43.43206164893293</v>
      </c>
      <c r="M13" s="18">
        <f>Inputs!AF93/Inputs!$G$14</f>
        <v>43.627163180048875</v>
      </c>
      <c r="N13" s="19">
        <f>Inputs!AG93/Inputs!$G$14</f>
        <v>43.657593929736265</v>
      </c>
      <c r="O13" s="18">
        <f>Inputs!AH93/Inputs!$G$14</f>
        <v>43.5967295387694</v>
      </c>
      <c r="P13" s="19">
        <f>Inputs!AI93/Inputs!$G$14</f>
        <v>43.66997579080282</v>
      </c>
      <c r="Q13" s="18">
        <f>Inputs!AJ93/Inputs!$G$14</f>
        <v>43.593513914078926</v>
      </c>
    </row>
    <row r="14" spans="1:17" ht="16.5">
      <c r="A14" s="130"/>
      <c r="B14" s="22">
        <f>Inputs!U94</f>
        <v>0.045000000000000005</v>
      </c>
      <c r="C14" s="14">
        <f>Inputs!V94/Inputs!$G$14</f>
        <v>39.147089814162236</v>
      </c>
      <c r="D14" s="13">
        <f>Inputs!W94/Inputs!$G$14</f>
        <v>40.54379595160002</v>
      </c>
      <c r="E14" s="14">
        <f>Inputs!X94/Inputs!$G$14</f>
        <v>41.847496822439304</v>
      </c>
      <c r="F14" s="13">
        <f>Inputs!Y94/Inputs!$G$14</f>
        <v>42.92437158548676</v>
      </c>
      <c r="G14" s="14">
        <f>Inputs!Z94/Inputs!$G$14</f>
        <v>43.73890247629774</v>
      </c>
      <c r="H14" s="13">
        <f>Inputs!AA94/Inputs!$G$14</f>
        <v>44.47494294611098</v>
      </c>
      <c r="I14" s="14">
        <f>Inputs!AB94/Inputs!$G$14</f>
        <v>45.08479186795034</v>
      </c>
      <c r="J14" s="13">
        <f>Inputs!AC94/Inputs!$G$14</f>
        <v>45.58351320413638</v>
      </c>
      <c r="K14" s="14">
        <f>Inputs!AD94/Inputs!$G$14</f>
        <v>45.886591620384024</v>
      </c>
      <c r="L14" s="13">
        <f>Inputs!AE94/Inputs!$G$14</f>
        <v>46.2776570819743</v>
      </c>
      <c r="M14" s="14">
        <f>Inputs!AF94/Inputs!$G$14</f>
        <v>46.69860358036251</v>
      </c>
      <c r="N14" s="13">
        <f>Inputs!AG94/Inputs!$G$14</f>
        <v>46.92691020376754</v>
      </c>
      <c r="O14" s="14">
        <f>Inputs!AH94/Inputs!$G$14</f>
        <v>47.041102496775466</v>
      </c>
      <c r="P14" s="13">
        <f>Inputs!AI94/Inputs!$G$14</f>
        <v>47.296781380852835</v>
      </c>
      <c r="Q14" s="14">
        <f>Inputs!AJ94/Inputs!$G$14</f>
        <v>47.37108510114538</v>
      </c>
    </row>
    <row r="15" spans="1:17" ht="16.5">
      <c r="A15" s="130"/>
      <c r="B15" s="21">
        <f>Inputs!U95</f>
        <v>0.05500000000000001</v>
      </c>
      <c r="C15" s="18">
        <f>Inputs!V95/Inputs!$G$14</f>
        <v>39.46211073251639</v>
      </c>
      <c r="D15" s="19">
        <f>Inputs!W95/Inputs!$G$14</f>
        <v>41.18233342295365</v>
      </c>
      <c r="E15" s="18">
        <f>Inputs!X95/Inputs!$G$14</f>
        <v>42.815891751970334</v>
      </c>
      <c r="F15" s="19">
        <f>Inputs!Y95/Inputs!$G$14</f>
        <v>44.22160201176938</v>
      </c>
      <c r="G15" s="18">
        <f>Inputs!Z95/Inputs!$G$14</f>
        <v>45.35613303831901</v>
      </c>
      <c r="H15" s="19">
        <f>Inputs!AA95/Inputs!$G$14</f>
        <v>46.40701972957979</v>
      </c>
      <c r="I15" s="18">
        <f>Inputs!AB95/Inputs!$G$14</f>
        <v>47.321599181547306</v>
      </c>
      <c r="J15" s="19">
        <f>Inputs!AC95/Inputs!$G$14</f>
        <v>48.112997455872396</v>
      </c>
      <c r="K15" s="18">
        <f>Inputs!AD95/Inputs!$G$14</f>
        <v>48.68643857440785</v>
      </c>
      <c r="L15" s="19">
        <f>Inputs!AE95/Inputs!$G$14</f>
        <v>49.34858672514521</v>
      </c>
      <c r="M15" s="18">
        <f>Inputs!AF95/Inputs!$G$14</f>
        <v>50.038347516825596</v>
      </c>
      <c r="N15" s="19">
        <f>Inputs!AG95/Inputs!$G$14</f>
        <v>50.507830603512566</v>
      </c>
      <c r="O15" s="18">
        <f>Inputs!AH95/Inputs!$G$14</f>
        <v>50.84044528477973</v>
      </c>
      <c r="P15" s="19">
        <f>Inputs!AI95/Inputs!$G$14</f>
        <v>51.32526235624469</v>
      </c>
      <c r="Q15" s="18">
        <f>Inputs!AJ95/Inputs!$G$14</f>
        <v>51.59502326198315</v>
      </c>
    </row>
    <row r="16" spans="1:17" ht="16.5">
      <c r="A16" s="130"/>
      <c r="B16" s="22">
        <f>Inputs!U96</f>
        <v>0.065</v>
      </c>
      <c r="C16" s="14">
        <f>Inputs!V96/Inputs!$G$14</f>
        <v>39.77713165087054</v>
      </c>
      <c r="D16" s="13">
        <f>Inputs!W96/Inputs!$G$14</f>
        <v>41.82675053305664</v>
      </c>
      <c r="E16" s="14">
        <f>Inputs!X96/Inputs!$G$14</f>
        <v>43.802015755099895</v>
      </c>
      <c r="F16" s="13">
        <f>Inputs!Y96/Inputs!$G$14</f>
        <v>45.55424626035583</v>
      </c>
      <c r="G16" s="14">
        <f>Inputs!Z96/Inputs!$G$14</f>
        <v>47.03186962715244</v>
      </c>
      <c r="H16" s="13">
        <f>Inputs!AA96/Inputs!$G$14</f>
        <v>48.425936333352425</v>
      </c>
      <c r="I16" s="14">
        <f>Inputs!AB96/Inputs!$G$14</f>
        <v>49.678302823508815</v>
      </c>
      <c r="J16" s="13">
        <f>Inputs!AC96/Inputs!$G$14</f>
        <v>50.79965637235824</v>
      </c>
      <c r="K16" s="14">
        <f>Inputs!AD96/Inputs!$G$14</f>
        <v>51.68373343885537</v>
      </c>
      <c r="L16" s="13">
        <f>Inputs!AE96/Inputs!$G$14</f>
        <v>52.661562485332304</v>
      </c>
      <c r="M16" s="14">
        <f>Inputs!AF96/Inputs!$G$14</f>
        <v>53.66875000975983</v>
      </c>
      <c r="N16" s="13">
        <f>Inputs!AG96/Inputs!$G$14</f>
        <v>54.42914711064642</v>
      </c>
      <c r="O16" s="14">
        <f>Inputs!AH96/Inputs!$G$14</f>
        <v>55.03075153086861</v>
      </c>
      <c r="P16" s="13">
        <f>Inputs!AI96/Inputs!$G$14</f>
        <v>55.799767908839875</v>
      </c>
      <c r="Q16" s="14">
        <f>Inputs!AJ96/Inputs!$G$14</f>
        <v>56.31857824161038</v>
      </c>
    </row>
    <row r="17" spans="1:17" ht="16.5">
      <c r="A17" s="130"/>
      <c r="B17" s="21">
        <f>Inputs!U97</f>
        <v>0.07500000000000001</v>
      </c>
      <c r="C17" s="18">
        <f>Inputs!V97/Inputs!$G$14</f>
        <v>40.09215256922468</v>
      </c>
      <c r="D17" s="19">
        <f>Inputs!W97/Inputs!$G$14</f>
        <v>42.477047281908995</v>
      </c>
      <c r="E17" s="18">
        <f>Inputs!X97/Inputs!$G$14</f>
        <v>44.80603313372321</v>
      </c>
      <c r="F17" s="19">
        <f>Inputs!Y97/Inputs!$G$14</f>
        <v>46.92296017863559</v>
      </c>
      <c r="G17" s="18">
        <f>Inputs!Z97/Inputs!$G$14</f>
        <v>48.7677359633153</v>
      </c>
      <c r="H17" s="19">
        <f>Inputs!AA97/Inputs!$G$14</f>
        <v>50.534903263709815</v>
      </c>
      <c r="I17" s="18">
        <f>Inputs!AB97/Inputs!$G$14</f>
        <v>52.16043811935213</v>
      </c>
      <c r="J17" s="19">
        <f>Inputs!AC97/Inputs!$G$14</f>
        <v>53.65218816582467</v>
      </c>
      <c r="K17" s="18">
        <f>Inputs!AD97/Inputs!$G$14</f>
        <v>54.89120639172008</v>
      </c>
      <c r="L17" s="19">
        <f>Inputs!AE97/Inputs!$G$14</f>
        <v>56.23439860299147</v>
      </c>
      <c r="M17" s="18">
        <f>Inputs!AF97/Inputs!$G$14</f>
        <v>57.61385315682558</v>
      </c>
      <c r="N17" s="19">
        <f>Inputs!AG97/Inputs!$G$14</f>
        <v>58.72209803779863</v>
      </c>
      <c r="O17" s="18">
        <f>Inputs!AH97/Inputs!$G$14</f>
        <v>59.65141457944043</v>
      </c>
      <c r="P17" s="19">
        <f>Inputs!AI97/Inputs!$G$14</f>
        <v>60.769258922123775</v>
      </c>
      <c r="Q17" s="18">
        <f>Inputs!AJ97/Inputs!$G$14</f>
        <v>61.60104265667193</v>
      </c>
    </row>
    <row r="18" spans="1:17" ht="16.5">
      <c r="A18" s="130"/>
      <c r="B18" s="22">
        <f>Inputs!U98</f>
        <v>0.085</v>
      </c>
      <c r="C18" s="14">
        <f>Inputs!V98/Inputs!$G$14</f>
        <v>40.40717348757884</v>
      </c>
      <c r="D18" s="13">
        <f>Inputs!W98/Inputs!$G$14</f>
        <v>43.13322366951071</v>
      </c>
      <c r="E18" s="14">
        <f>Inputs!X98/Inputs!$G$14</f>
        <v>45.82810818973552</v>
      </c>
      <c r="F18" s="13">
        <f>Inputs!Y98/Inputs!$G$14</f>
        <v>48.328405697046946</v>
      </c>
      <c r="G18" s="14">
        <f>Inputs!Z98/Inputs!$G$14</f>
        <v>50.5653859252911</v>
      </c>
      <c r="H18" s="13">
        <f>Inputs!AA98/Inputs!$G$14</f>
        <v>52.73722058729675</v>
      </c>
      <c r="I18" s="14">
        <f>Inputs!AB98/Inputs!$G$14</f>
        <v>54.77374653551374</v>
      </c>
      <c r="J18" s="13">
        <f>Inputs!AC98/Inputs!$G$14</f>
        <v>56.679696441492645</v>
      </c>
      <c r="K18" s="14">
        <f>Inputs!AD98/Inputs!$G$14</f>
        <v>58.32230028707337</v>
      </c>
      <c r="L18" s="13">
        <f>Inputs!AE98/Inputs!$G$14</f>
        <v>60.086074196396254</v>
      </c>
      <c r="M18" s="14">
        <f>Inputs!AF98/Inputs!$G$14</f>
        <v>61.89949807065021</v>
      </c>
      <c r="N18" s="13">
        <f>Inputs!AG98/Inputs!$G$14</f>
        <v>63.42055392197771</v>
      </c>
      <c r="O18" s="14">
        <f>Inputs!AH98/Inputs!$G$14</f>
        <v>64.7455186875682</v>
      </c>
      <c r="P18" s="13">
        <f>Inputs!AI98/Inputs!$G$14</f>
        <v>66.2877478321928</v>
      </c>
      <c r="Q18" s="14">
        <f>Inputs!AJ98/Inputs!$G$14</f>
        <v>67.508387075251</v>
      </c>
    </row>
    <row r="19" spans="1:17" ht="16.5">
      <c r="A19" s="130"/>
      <c r="B19" s="21">
        <f>Inputs!U99</f>
        <v>0.095</v>
      </c>
      <c r="C19" s="18">
        <f>Inputs!V99/Inputs!$G$14</f>
        <v>40.72219440593298</v>
      </c>
      <c r="D19" s="19">
        <f>Inputs!W99/Inputs!$G$14</f>
        <v>43.79527969586179</v>
      </c>
      <c r="E19" s="18">
        <f>Inputs!X99/Inputs!$G$14</f>
        <v>46.868405225031985</v>
      </c>
      <c r="F19" s="19">
        <f>Inputs!Y99/Inputs!$G$14</f>
        <v>49.77125082907698</v>
      </c>
      <c r="G19" s="18">
        <f>Inputs!Z99/Inputs!$G$14</f>
        <v>52.42650382886362</v>
      </c>
      <c r="H19" s="19">
        <f>Inputs!AA99/Inputs!$G$14</f>
        <v>55.0362795941868</v>
      </c>
      <c r="I19" s="18">
        <f>Inputs!AB99/Inputs!$G$14</f>
        <v>57.524181434739525</v>
      </c>
      <c r="J19" s="19">
        <f>Inputs!AC99/Inputs!$G$14</f>
        <v>59.89170532404367</v>
      </c>
      <c r="K19" s="18">
        <f>Inputs!AD99/Inputs!$G$14</f>
        <v>61.99120396865338</v>
      </c>
      <c r="L19" s="19">
        <f>Inputs!AE99/Inputs!$G$14</f>
        <v>64.23679875709436</v>
      </c>
      <c r="M19" s="18">
        <f>Inputs!AF99/Inputs!$G$14</f>
        <v>66.5534431739608</v>
      </c>
      <c r="N19" s="19">
        <f>Inputs!AG99/Inputs!$G$14</f>
        <v>68.56121577065981</v>
      </c>
      <c r="O19" s="18">
        <f>Inputs!AH99/Inputs!$G$14</f>
        <v>70.3601523964501</v>
      </c>
      <c r="P19" s="19">
        <f>Inputs!AI99/Inputs!$G$14</f>
        <v>72.4147762832007</v>
      </c>
      <c r="Q19" s="18">
        <f>Inputs!AJ99/Inputs!$G$14</f>
        <v>74.1139560025611</v>
      </c>
    </row>
    <row r="20" spans="1:17" ht="16.5">
      <c r="A20" s="130"/>
      <c r="B20" s="22">
        <f>Inputs!U100</f>
        <v>0.10500000000000001</v>
      </c>
      <c r="C20" s="14">
        <f>Inputs!V100/Inputs!$G$14</f>
        <v>41.03721532428713</v>
      </c>
      <c r="D20" s="13">
        <f>Inputs!W100/Inputs!$G$14</f>
        <v>44.46321536096222</v>
      </c>
      <c r="E20" s="14">
        <f>Inputs!X100/Inputs!$G$14</f>
        <v>47.92708854150787</v>
      </c>
      <c r="F20" s="13">
        <f>Inputs!Y100/Inputs!$G$14</f>
        <v>51.252169671261655</v>
      </c>
      <c r="G20" s="14">
        <f>Inputs!Z100/Inputs!$G$14</f>
        <v>54.352804706450854</v>
      </c>
      <c r="H20" s="13">
        <f>Inputs!AA100/Inputs!$G$14</f>
        <v>57.43556447631442</v>
      </c>
      <c r="I20" s="14">
        <f>Inputs!AB100/Inputs!$G$14</f>
        <v>60.41791393815588</v>
      </c>
      <c r="J20" s="13">
        <f>Inputs!AC100/Inputs!$G$14</f>
        <v>63.29817500591472</v>
      </c>
      <c r="K20" s="14">
        <f>Inputs!AD100/Inputs!$G$14</f>
        <v>65.91288682570614</v>
      </c>
      <c r="L20" s="13">
        <f>Inputs!AE100/Inputs!$G$14</f>
        <v>68.70808070744438</v>
      </c>
      <c r="M20" s="14">
        <f>Inputs!AF100/Inputs!$G$14</f>
        <v>71.60548915180145</v>
      </c>
      <c r="N20" s="13">
        <f>Inputs!AG100/Inputs!$G$14</f>
        <v>74.18382636135122</v>
      </c>
      <c r="O20" s="14">
        <f>Inputs!AH100/Inputs!$G$14</f>
        <v>76.54674555043536</v>
      </c>
      <c r="P20" s="13">
        <f>Inputs!AI100/Inputs!$G$14</f>
        <v>79.21593345520252</v>
      </c>
      <c r="Q20" s="14">
        <f>Inputs!AJ100/Inputs!$G$14</f>
        <v>81.49922989826669</v>
      </c>
    </row>
    <row r="21" spans="1:17" ht="16.5">
      <c r="A21" s="130"/>
      <c r="B21" s="21">
        <f>Inputs!U101</f>
        <v>0.115</v>
      </c>
      <c r="C21" s="18">
        <f>Inputs!V101/Inputs!$G$14</f>
        <v>41.352236242641276</v>
      </c>
      <c r="D21" s="19">
        <f>Inputs!W101/Inputs!$G$14</f>
        <v>45.13703066481202</v>
      </c>
      <c r="E21" s="18">
        <f>Inputs!X101/Inputs!$G$14</f>
        <v>49.00432244105839</v>
      </c>
      <c r="F21" s="19">
        <f>Inputs!Y101/Inputs!$G$14</f>
        <v>52.77184240318569</v>
      </c>
      <c r="G21" s="18">
        <f>Inputs!Z101/Inputs!$G$14</f>
        <v>56.34603458643904</v>
      </c>
      <c r="H21" s="19">
        <f>Inputs!AA101/Inputs!$G$14</f>
        <v>59.93865402127412</v>
      </c>
      <c r="I21" s="18">
        <f>Inputs!AB101/Inputs!$G$14</f>
        <v>63.461338895004545</v>
      </c>
      <c r="J21" s="19">
        <f>Inputs!AC101/Inputs!$G$14</f>
        <v>66.90951772521638</v>
      </c>
      <c r="K21" s="18">
        <f>Inputs!AD101/Inputs!$G$14</f>
        <v>70.10313462563992</v>
      </c>
      <c r="L21" s="19">
        <f>Inputs!AE101/Inputs!$G$14</f>
        <v>73.52279913420966</v>
      </c>
      <c r="M21" s="18">
        <f>Inputs!AF101/Inputs!$G$14</f>
        <v>77.08761087164068</v>
      </c>
      <c r="N21" s="19">
        <f>Inputs!AG101/Inputs!$G$14</f>
        <v>80.3313953283763</v>
      </c>
      <c r="O21" s="18">
        <f>Inputs!AH101/Inputs!$G$14</f>
        <v>83.3614315194675</v>
      </c>
      <c r="P21" s="19">
        <f>Inputs!AI101/Inputs!$G$14</f>
        <v>86.76341813309944</v>
      </c>
      <c r="Q21" s="18">
        <f>Inputs!AJ101/Inputs!$G$14</f>
        <v>89.75465884845877</v>
      </c>
    </row>
    <row r="22" spans="1:17" ht="16.5">
      <c r="A22" s="130"/>
      <c r="B22" s="21">
        <f>Inputs!U102</f>
        <v>0.125</v>
      </c>
      <c r="C22" s="18">
        <f>Inputs!V102/Inputs!$G$14</f>
        <v>41.66725716099542</v>
      </c>
      <c r="D22" s="19">
        <f>Inputs!W102/Inputs!$G$14</f>
        <v>45.816725607411186</v>
      </c>
      <c r="E22" s="18">
        <f>Inputs!X102/Inputs!$G$14</f>
        <v>50.10027122557875</v>
      </c>
      <c r="F22" s="19">
        <f>Inputs!Y102/Inputs!$G$14</f>
        <v>54.33095528748261</v>
      </c>
      <c r="G22" s="18">
        <f>Inputs!Z102/Inputs!$G$14</f>
        <v>58.40797077251659</v>
      </c>
      <c r="H22" s="19">
        <f>Inputs!AA102/Inputs!$G$14</f>
        <v>62.549223321486934</v>
      </c>
      <c r="I22" s="18">
        <f>Inputs!AB102/Inputs!$G$14</f>
        <v>66.66108096102408</v>
      </c>
      <c r="J22" s="19">
        <f>Inputs!AC102/Inputs!$G$14</f>
        <v>70.73661418114372</v>
      </c>
      <c r="K22" s="18">
        <f>Inputs!AD102/Inputs!$G$14</f>
        <v>74.57858665869169</v>
      </c>
      <c r="L22" s="19">
        <f>Inputs!AE102/Inputs!$G$14</f>
        <v>78.70527881534855</v>
      </c>
      <c r="M22" s="18">
        <f>Inputs!AF102/Inputs!$G$14</f>
        <v>83.03409659371397</v>
      </c>
      <c r="N22" s="19">
        <f>Inputs!AG102/Inputs!$G$14</f>
        <v>87.05043880481682</v>
      </c>
      <c r="O22" s="18">
        <f>Inputs!AH102/Inputs!$G$14</f>
        <v>90.86543626804664</v>
      </c>
      <c r="P22" s="19">
        <f>Inputs!AI102/Inputs!$G$14</f>
        <v>95.13664778692272</v>
      </c>
      <c r="Q22" s="18">
        <f>Inputs!AJ102/Inputs!$G$14</f>
        <v>98.98057393884883</v>
      </c>
    </row>
    <row r="23" spans="1:17" ht="12.75">
      <c r="A23" s="20"/>
      <c r="B23" s="20"/>
      <c r="C23" s="20"/>
      <c r="D23" s="20"/>
      <c r="E23" s="20"/>
      <c r="F23" s="20"/>
      <c r="G23" s="20"/>
      <c r="H23" s="20"/>
      <c r="I23" s="20"/>
      <c r="J23" s="20"/>
      <c r="K23" s="20"/>
      <c r="L23" s="20"/>
      <c r="M23" s="20"/>
      <c r="N23" s="20"/>
      <c r="O23" s="20"/>
      <c r="P23" s="20"/>
      <c r="Q23" s="20"/>
    </row>
    <row r="24" s="20" customFormat="1" ht="11.25" customHeight="1"/>
    <row r="25" s="20" customFormat="1" ht="12.75">
      <c r="A25" s="27"/>
    </row>
    <row r="26" s="20" customFormat="1" ht="12.75"/>
    <row r="27" s="20" customFormat="1" ht="12.75"/>
    <row r="28" s="20" customFormat="1" ht="12.75"/>
    <row r="29" s="20" customFormat="1" ht="12.75"/>
    <row r="30" s="20" customFormat="1" ht="12.75"/>
    <row r="31" s="20" customFormat="1" ht="12.75"/>
    <row r="32" s="20" customFormat="1" ht="12.75"/>
    <row r="33" s="20" customFormat="1" ht="12.75"/>
    <row r="34" s="20" customFormat="1" ht="12.75"/>
    <row r="35" s="20" customFormat="1" ht="12.75"/>
    <row r="36" s="20" customFormat="1" ht="12.75"/>
    <row r="37" s="20" customFormat="1" ht="12.75"/>
    <row r="38" s="20" customFormat="1" ht="12.75"/>
    <row r="39" s="20" customFormat="1" ht="12.75"/>
    <row r="40" s="20" customFormat="1" ht="12.75"/>
    <row r="41" s="20" customFormat="1" ht="12.75"/>
    <row r="42" s="20" customFormat="1" ht="12.75"/>
    <row r="43" s="20" customFormat="1" ht="12.75"/>
    <row r="44" s="20" customFormat="1" ht="12.75"/>
    <row r="45" s="20" customFormat="1" ht="12.75"/>
    <row r="46" s="20" customFormat="1" ht="12.75"/>
    <row r="47" s="20" customFormat="1" ht="12.75"/>
    <row r="48" s="20" customFormat="1" ht="12.75"/>
    <row r="49" s="20" customFormat="1" ht="12.75"/>
    <row r="50" s="20" customFormat="1" ht="12.75"/>
    <row r="51" s="20" customFormat="1" ht="12.75"/>
    <row r="52" s="20" customFormat="1" ht="12.75"/>
    <row r="53" s="20" customFormat="1" ht="12.75"/>
    <row r="54" s="20" customFormat="1" ht="12.75"/>
    <row r="55" s="20" customFormat="1" ht="12.75"/>
    <row r="56" s="20" customFormat="1" ht="12.75"/>
    <row r="57" s="20" customFormat="1" ht="12.75"/>
    <row r="58" s="20" customFormat="1" ht="12.75"/>
    <row r="59" s="20" customFormat="1" ht="12.75"/>
    <row r="60" s="20" customFormat="1" ht="12.75"/>
    <row r="61" s="20" customFormat="1" ht="12.75"/>
    <row r="62" s="20" customFormat="1" ht="12.75"/>
    <row r="63" s="20" customFormat="1" ht="12.75"/>
    <row r="64" s="20" customFormat="1" ht="12.75"/>
    <row r="65" s="20" customFormat="1" ht="12.75"/>
    <row r="66" s="20" customFormat="1" ht="12.75"/>
    <row r="67" s="20" customFormat="1" ht="12.75"/>
    <row r="68" s="20" customFormat="1" ht="12.75"/>
    <row r="69" s="20" customFormat="1" ht="12.75"/>
    <row r="70" s="20" customFormat="1" ht="12.75"/>
    <row r="71" s="20" customFormat="1" ht="12.75"/>
    <row r="72" s="20" customFormat="1" ht="12.75"/>
    <row r="73" s="20" customFormat="1" ht="12.75"/>
    <row r="74" s="20" customFormat="1" ht="12.75"/>
  </sheetData>
  <sheetProtection password="868B" sheet="1"/>
  <mergeCells count="3">
    <mergeCell ref="C11:Q11"/>
    <mergeCell ref="A13:A22"/>
    <mergeCell ref="A8:Q8"/>
  </mergeCells>
  <printOptions/>
  <pageMargins left="0.25" right="0.25" top="0.25" bottom="0.2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Stephen Jones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Villalta</dc:creator>
  <cp:keywords/>
  <dc:description/>
  <cp:lastModifiedBy>john</cp:lastModifiedBy>
  <cp:lastPrinted>2011-12-09T16:49:21Z</cp:lastPrinted>
  <dcterms:created xsi:type="dcterms:W3CDTF">1999-12-09T19:47:48Z</dcterms:created>
  <dcterms:modified xsi:type="dcterms:W3CDTF">2012-07-05T01:04:37Z</dcterms:modified>
  <cp:category/>
  <cp:version/>
  <cp:contentType/>
  <cp:contentStatus/>
</cp:coreProperties>
</file>