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32" windowWidth="22020" windowHeight="8736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13" i="1" l="1"/>
  <c r="W13" i="1"/>
  <c r="V13" i="1"/>
  <c r="U13" i="1"/>
  <c r="K40" i="2"/>
  <c r="K39" i="2"/>
  <c r="K46" i="2"/>
  <c r="K45" i="2"/>
  <c r="K44" i="2"/>
  <c r="K42" i="2"/>
  <c r="K43" i="2" s="1"/>
  <c r="X8" i="1"/>
  <c r="X11" i="1"/>
  <c r="W11" i="1"/>
  <c r="V11" i="1"/>
  <c r="X10" i="1"/>
  <c r="U20" i="1"/>
  <c r="U19" i="1"/>
  <c r="U17" i="1"/>
  <c r="W8" i="1"/>
  <c r="W10" i="1" s="1"/>
  <c r="W12" i="1" s="1"/>
  <c r="W14" i="1" s="1"/>
  <c r="W15" i="1" s="1"/>
  <c r="V8" i="1"/>
  <c r="V10" i="1"/>
  <c r="U10" i="1"/>
  <c r="U11" i="1"/>
  <c r="K41" i="2"/>
  <c r="E39" i="2"/>
  <c r="F39" i="2"/>
  <c r="G39" i="2"/>
  <c r="H39" i="2"/>
  <c r="I39" i="2"/>
  <c r="J39" i="2"/>
  <c r="U8" i="1"/>
  <c r="K15" i="1"/>
  <c r="L15" i="1"/>
  <c r="M15" i="1"/>
  <c r="N15" i="1"/>
  <c r="O15" i="1"/>
  <c r="P15" i="1"/>
  <c r="Q15" i="1"/>
  <c r="J15" i="1"/>
  <c r="X12" i="1" l="1"/>
  <c r="X14" i="1" s="1"/>
  <c r="X15" i="1" s="1"/>
  <c r="X16" i="1" s="1"/>
  <c r="W16" i="1"/>
  <c r="V12" i="1"/>
  <c r="V14" i="1" s="1"/>
  <c r="U12" i="1"/>
  <c r="U14" i="1" s="1"/>
  <c r="U15" i="1" s="1"/>
  <c r="U16" i="1" s="1"/>
  <c r="K31" i="2"/>
  <c r="F29" i="2"/>
  <c r="G29" i="2"/>
  <c r="H29" i="2"/>
  <c r="I29" i="2"/>
  <c r="E29" i="2"/>
  <c r="F28" i="2"/>
  <c r="G28" i="2"/>
  <c r="H28" i="2"/>
  <c r="I28" i="2"/>
  <c r="E28" i="2"/>
  <c r="F23" i="2"/>
  <c r="G23" i="2"/>
  <c r="H23" i="2"/>
  <c r="I23" i="2"/>
  <c r="J23" i="2"/>
  <c r="K23" i="2"/>
  <c r="E23" i="2"/>
  <c r="F18" i="2"/>
  <c r="G18" i="2"/>
  <c r="H18" i="2"/>
  <c r="I18" i="2"/>
  <c r="J18" i="2"/>
  <c r="E18" i="2"/>
  <c r="G37" i="2"/>
  <c r="F37" i="2"/>
  <c r="H37" i="2"/>
  <c r="I37" i="2"/>
  <c r="J37" i="2"/>
  <c r="K37" i="2"/>
  <c r="E37" i="2"/>
  <c r="F16" i="2"/>
  <c r="G16" i="2"/>
  <c r="H16" i="2"/>
  <c r="I16" i="2"/>
  <c r="J16" i="2"/>
  <c r="K16" i="2"/>
  <c r="K18" i="2" s="1"/>
  <c r="E16" i="2"/>
  <c r="K14" i="2"/>
  <c r="F9" i="2"/>
  <c r="G9" i="2"/>
  <c r="H9" i="2"/>
  <c r="I9" i="2"/>
  <c r="J9" i="2"/>
  <c r="K9" i="2"/>
  <c r="E9" i="2"/>
  <c r="K8" i="2"/>
  <c r="G6" i="2"/>
  <c r="H6" i="2"/>
  <c r="I6" i="2" s="1"/>
  <c r="J6" i="2" s="1"/>
  <c r="K6" i="2" s="1"/>
  <c r="F6" i="2"/>
  <c r="X17" i="1" l="1"/>
  <c r="X19" i="1" s="1"/>
  <c r="X20" i="1"/>
  <c r="V15" i="1"/>
  <c r="V16" i="1" s="1"/>
  <c r="W17" i="1"/>
  <c r="W19" i="1" s="1"/>
  <c r="W20" i="1"/>
  <c r="K16" i="1"/>
  <c r="L16" i="1"/>
  <c r="M16" i="1"/>
  <c r="N16" i="1"/>
  <c r="O16" i="1"/>
  <c r="P16" i="1"/>
  <c r="Q16" i="1"/>
  <c r="J16" i="1"/>
  <c r="F12" i="1"/>
  <c r="G12" i="1"/>
  <c r="H12" i="1"/>
  <c r="I12" i="1"/>
  <c r="J12" i="1"/>
  <c r="K12" i="1"/>
  <c r="L12" i="1"/>
  <c r="M12" i="1"/>
  <c r="N12" i="1"/>
  <c r="O12" i="1"/>
  <c r="P12" i="1"/>
  <c r="Q12" i="1"/>
  <c r="E12" i="1"/>
  <c r="F11" i="1"/>
  <c r="G11" i="1"/>
  <c r="H11" i="1"/>
  <c r="I11" i="1"/>
  <c r="J11" i="1"/>
  <c r="K11" i="1"/>
  <c r="L11" i="1"/>
  <c r="M11" i="1"/>
  <c r="N11" i="1"/>
  <c r="O11" i="1"/>
  <c r="P11" i="1"/>
  <c r="Q11" i="1"/>
  <c r="E11" i="1"/>
  <c r="F10" i="1"/>
  <c r="G10" i="1"/>
  <c r="H10" i="1"/>
  <c r="I10" i="1"/>
  <c r="J10" i="1"/>
  <c r="K10" i="1"/>
  <c r="L10" i="1"/>
  <c r="M10" i="1"/>
  <c r="N10" i="1"/>
  <c r="O10" i="1"/>
  <c r="P10" i="1"/>
  <c r="Q10" i="1"/>
  <c r="E10" i="1"/>
  <c r="F7" i="1"/>
  <c r="G7" i="1"/>
  <c r="H7" i="1"/>
  <c r="I7" i="1"/>
  <c r="J7" i="1"/>
  <c r="K7" i="1"/>
  <c r="L7" i="1"/>
  <c r="M7" i="1"/>
  <c r="N7" i="1"/>
  <c r="O7" i="1"/>
  <c r="P7" i="1"/>
  <c r="Q7" i="1"/>
  <c r="E7" i="1"/>
  <c r="V17" i="1" l="1"/>
  <c r="V19" i="1" s="1"/>
  <c r="V20" i="1"/>
</calcChain>
</file>

<file path=xl/sharedStrings.xml><?xml version="1.0" encoding="utf-8"?>
<sst xmlns="http://schemas.openxmlformats.org/spreadsheetml/2006/main" count="90" uniqueCount="88">
  <si>
    <t>Coals Sales</t>
  </si>
  <si>
    <t>Avg. P/Ton</t>
  </si>
  <si>
    <t>Wash plant recovery in %</t>
  </si>
  <si>
    <t>Operating costs</t>
  </si>
  <si>
    <t>Avg. cost/ton</t>
  </si>
  <si>
    <t>Margin</t>
  </si>
  <si>
    <t>Margin/Ton</t>
  </si>
  <si>
    <t>Capex</t>
  </si>
  <si>
    <t>MCX</t>
  </si>
  <si>
    <t>MCX/Ton</t>
  </si>
  <si>
    <t>1st 2012</t>
  </si>
  <si>
    <t>2nd 2012</t>
  </si>
  <si>
    <t>3rd 2013</t>
  </si>
  <si>
    <t>4th 2012</t>
  </si>
  <si>
    <t>3rd 2012</t>
  </si>
  <si>
    <t>1st 2013</t>
  </si>
  <si>
    <t>2nd 2013</t>
  </si>
  <si>
    <t>4th 2013</t>
  </si>
  <si>
    <t>1st 2014</t>
  </si>
  <si>
    <t>2nd 2014</t>
  </si>
  <si>
    <t>3rd 2014</t>
  </si>
  <si>
    <t>4th 2014</t>
  </si>
  <si>
    <t>1st 2015</t>
  </si>
  <si>
    <t>$(000s)</t>
  </si>
  <si>
    <t>*</t>
  </si>
  <si>
    <t>Tons Sold in 000s</t>
  </si>
  <si>
    <t>Sustainable Margin/Ton</t>
  </si>
  <si>
    <t>Current Assets</t>
  </si>
  <si>
    <t>LT and Other Assets</t>
  </si>
  <si>
    <t>Total Assets</t>
  </si>
  <si>
    <t>Current Liabilities (excludes bank debt)</t>
  </si>
  <si>
    <t>Bank Debt</t>
  </si>
  <si>
    <t>Deferred Income Taxes</t>
  </si>
  <si>
    <t>Other Liabilities</t>
  </si>
  <si>
    <t>Total Liabilities</t>
  </si>
  <si>
    <t>Total Equity</t>
  </si>
  <si>
    <t>Weighted Shares Outstanding</t>
  </si>
  <si>
    <t xml:space="preserve">     Basic</t>
  </si>
  <si>
    <t xml:space="preserve">     Diluted</t>
  </si>
  <si>
    <t>Book Value Per Share</t>
  </si>
  <si>
    <t>Dividends per share</t>
  </si>
  <si>
    <t>Net Income</t>
  </si>
  <si>
    <t>Basic EPS</t>
  </si>
  <si>
    <t>Diluted EPS</t>
  </si>
  <si>
    <t>EBITDA</t>
  </si>
  <si>
    <t>Operating Cash Flow</t>
  </si>
  <si>
    <t xml:space="preserve">Capex, Excl. Vectren </t>
  </si>
  <si>
    <t>1st. Qtr</t>
  </si>
  <si>
    <t>Curr. Assets/Curr. Liabilities</t>
  </si>
  <si>
    <t>Working Capital per Share</t>
  </si>
  <si>
    <t>Transition</t>
  </si>
  <si>
    <t xml:space="preserve">              Current Portion of bank debt</t>
  </si>
  <si>
    <t>Maint. Capex</t>
  </si>
  <si>
    <t>tons</t>
  </si>
  <si>
    <t>Sale Price</t>
  </si>
  <si>
    <t>Cash cost</t>
  </si>
  <si>
    <t>Net</t>
  </si>
  <si>
    <t>Int. Cost/Ton</t>
  </si>
  <si>
    <t>SG&amp;A/ton</t>
  </si>
  <si>
    <t>Pre-tax Op inc./Ton</t>
  </si>
  <si>
    <t>Per share NI</t>
  </si>
  <si>
    <t>Ebitda-MCX ("Pre-tax Owner Earnings)</t>
  </si>
  <si>
    <t>(in $000's</t>
  </si>
  <si>
    <t>Annualized</t>
  </si>
  <si>
    <t>Per Share</t>
  </si>
  <si>
    <t>$3 to $4/Ton</t>
  </si>
  <si>
    <t>MCX/Ton @$4</t>
  </si>
  <si>
    <t>Sust. Margin</t>
  </si>
  <si>
    <t>Tax@30%</t>
  </si>
  <si>
    <t>9.1 to 9.7 est.</t>
  </si>
  <si>
    <t>Base Case</t>
  </si>
  <si>
    <t>10 multiple</t>
  </si>
  <si>
    <t>8 multiple</t>
  </si>
  <si>
    <t>Totals</t>
  </si>
  <si>
    <t>Other Subs per share</t>
  </si>
  <si>
    <t>10 Multiple</t>
  </si>
  <si>
    <t>29 million OS</t>
  </si>
  <si>
    <t>Banks lend sub 5%</t>
  </si>
  <si>
    <t>Bulldog</t>
  </si>
  <si>
    <t>Tax rate up to 35% post 2016</t>
  </si>
  <si>
    <t>Yr. 2018 150 mil debt at 5%</t>
  </si>
  <si>
    <t>Bulldog adds 3 mm capacity</t>
  </si>
  <si>
    <t>$15 mm ann. Up $1 mil in 2018</t>
  </si>
  <si>
    <t>Post tax at 30% rate</t>
  </si>
  <si>
    <t>Int. exp. 5% cap 270 mil. Bk debt/sh</t>
  </si>
  <si>
    <t>Pre-tax after interest expense/sh</t>
  </si>
  <si>
    <t>$13.5 - $16.5</t>
  </si>
  <si>
    <t>Subs: $1 added to 8 multiple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</si>
</sst>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0" fontId="0" fillId="0" borderId="1" xfId="0" applyBorder="1"/>
    <xf numFmtId="0" fontId="0" fillId="0" borderId="0" xfId="0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0" fontId="0" fillId="0" borderId="2" xfId="0" applyBorder="1"/>
    <xf numFmtId="9" fontId="0" fillId="0" borderId="1" xfId="0" applyNumberFormat="1" applyBorder="1"/>
    <xf numFmtId="10" fontId="0" fillId="0" borderId="0" xfId="0" applyNumberFormat="1" applyBorder="1"/>
    <xf numFmtId="9" fontId="0" fillId="0" borderId="0" xfId="0" applyNumberFormat="1" applyBorder="1"/>
    <xf numFmtId="9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3" fontId="0" fillId="0" borderId="8" xfId="0" applyNumberFormat="1" applyBorder="1"/>
    <xf numFmtId="3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164" fontId="0" fillId="0" borderId="12" xfId="0" applyNumberFormat="1" applyBorder="1"/>
    <xf numFmtId="9" fontId="0" fillId="0" borderId="12" xfId="0" applyNumberFormat="1" applyBorder="1"/>
    <xf numFmtId="164" fontId="2" fillId="0" borderId="12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4" xfId="0" applyNumberFormat="1" applyBorder="1"/>
    <xf numFmtId="164" fontId="0" fillId="0" borderId="17" xfId="0" applyNumberFormat="1" applyBorder="1"/>
    <xf numFmtId="3" fontId="0" fillId="0" borderId="0" xfId="0" applyNumberFormat="1"/>
    <xf numFmtId="165" fontId="0" fillId="0" borderId="0" xfId="1" applyNumberFormat="1" applyFont="1"/>
    <xf numFmtId="0" fontId="0" fillId="0" borderId="19" xfId="0" applyBorder="1"/>
    <xf numFmtId="0" fontId="1" fillId="0" borderId="8" xfId="0" applyFont="1" applyBorder="1"/>
    <xf numFmtId="0" fontId="1" fillId="0" borderId="18" xfId="0" applyFont="1" applyBorder="1"/>
    <xf numFmtId="0" fontId="1" fillId="0" borderId="15" xfId="0" applyFont="1" applyBorder="1"/>
    <xf numFmtId="0" fontId="1" fillId="0" borderId="19" xfId="0" applyFont="1" applyBorder="1"/>
    <xf numFmtId="43" fontId="0" fillId="0" borderId="0" xfId="0" applyNumberFormat="1"/>
    <xf numFmtId="165" fontId="1" fillId="0" borderId="4" xfId="0" applyNumberFormat="1" applyFont="1" applyBorder="1"/>
    <xf numFmtId="165" fontId="1" fillId="0" borderId="5" xfId="0" applyNumberFormat="1" applyFont="1" applyBorder="1"/>
    <xf numFmtId="164" fontId="0" fillId="0" borderId="0" xfId="0" applyNumberFormat="1"/>
    <xf numFmtId="0" fontId="0" fillId="0" borderId="3" xfId="0" applyBorder="1"/>
    <xf numFmtId="166" fontId="0" fillId="0" borderId="4" xfId="2" applyNumberFormat="1" applyFont="1" applyBorder="1"/>
    <xf numFmtId="166" fontId="0" fillId="0" borderId="5" xfId="2" applyNumberFormat="1" applyFont="1" applyBorder="1"/>
    <xf numFmtId="43" fontId="0" fillId="0" borderId="8" xfId="0" applyNumberFormat="1" applyBorder="1"/>
    <xf numFmtId="43" fontId="0" fillId="0" borderId="18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1" xfId="0" applyNumberFormat="1" applyBorder="1"/>
    <xf numFmtId="164" fontId="0" fillId="2" borderId="22" xfId="0" applyNumberFormat="1" applyFill="1" applyBorder="1"/>
    <xf numFmtId="164" fontId="0" fillId="2" borderId="23" xfId="0" applyNumberFormat="1" applyFill="1" applyBorder="1"/>
    <xf numFmtId="164" fontId="0" fillId="2" borderId="24" xfId="0" applyNumberFormat="1" applyFill="1" applyBorder="1"/>
    <xf numFmtId="164" fontId="0" fillId="3" borderId="23" xfId="0" applyNumberFormat="1" applyFill="1" applyBorder="1"/>
    <xf numFmtId="0" fontId="1" fillId="0" borderId="7" xfId="0" applyFont="1" applyBorder="1"/>
    <xf numFmtId="0" fontId="1" fillId="0" borderId="11" xfId="0" applyFont="1" applyBorder="1"/>
    <xf numFmtId="0" fontId="1" fillId="0" borderId="20" xfId="0" applyFont="1" applyBorder="1"/>
    <xf numFmtId="0" fontId="1" fillId="0" borderId="13" xfId="0" applyFont="1" applyBorder="1"/>
    <xf numFmtId="0" fontId="5" fillId="0" borderId="0" xfId="3"/>
    <xf numFmtId="164" fontId="0" fillId="0" borderId="0" xfId="2" applyNumberFormat="1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164" fontId="1" fillId="0" borderId="0" xfId="0" applyNumberFormat="1" applyFont="1"/>
    <xf numFmtId="8" fontId="0" fillId="0" borderId="0" xfId="0" applyNumberFormat="1"/>
    <xf numFmtId="6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0" fontId="0" fillId="0" borderId="18" xfId="0" applyBorder="1"/>
    <xf numFmtId="165" fontId="0" fillId="0" borderId="15" xfId="1" applyNumberFormat="1" applyFont="1" applyBorder="1"/>
    <xf numFmtId="3" fontId="0" fillId="0" borderId="11" xfId="0" applyNumberFormat="1" applyBorder="1"/>
    <xf numFmtId="3" fontId="0" fillId="0" borderId="26" xfId="0" applyNumberFormat="1" applyBorder="1"/>
    <xf numFmtId="3" fontId="4" fillId="0" borderId="11" xfId="0" applyNumberFormat="1" applyFont="1" applyBorder="1"/>
    <xf numFmtId="165" fontId="4" fillId="0" borderId="26" xfId="1" applyNumberFormat="1" applyFont="1" applyBorder="1"/>
    <xf numFmtId="3" fontId="1" fillId="0" borderId="11" xfId="0" applyNumberFormat="1" applyFont="1" applyBorder="1"/>
    <xf numFmtId="3" fontId="1" fillId="0" borderId="26" xfId="0" applyNumberFormat="1" applyFont="1" applyBorder="1"/>
    <xf numFmtId="0" fontId="0" fillId="0" borderId="26" xfId="0" applyBorder="1"/>
    <xf numFmtId="165" fontId="0" fillId="0" borderId="11" xfId="1" applyNumberFormat="1" applyFont="1" applyBorder="1"/>
    <xf numFmtId="165" fontId="0" fillId="0" borderId="26" xfId="1" applyNumberFormat="1" applyFont="1" applyBorder="1"/>
    <xf numFmtId="165" fontId="0" fillId="0" borderId="11" xfId="0" applyNumberFormat="1" applyBorder="1"/>
    <xf numFmtId="165" fontId="0" fillId="0" borderId="26" xfId="0" applyNumberFormat="1" applyBorder="1"/>
    <xf numFmtId="165" fontId="1" fillId="0" borderId="3" xfId="0" applyNumberFormat="1" applyFont="1" applyBorder="1"/>
    <xf numFmtId="43" fontId="0" fillId="0" borderId="7" xfId="0" applyNumberFormat="1" applyBorder="1"/>
    <xf numFmtId="164" fontId="0" fillId="0" borderId="11" xfId="0" applyNumberFormat="1" applyBorder="1"/>
    <xf numFmtId="164" fontId="0" fillId="0" borderId="26" xfId="0" applyNumberFormat="1" applyBorder="1"/>
    <xf numFmtId="166" fontId="0" fillId="0" borderId="3" xfId="2" applyNumberFormat="1" applyFont="1" applyBorder="1"/>
    <xf numFmtId="43" fontId="0" fillId="0" borderId="11" xfId="0" applyNumberFormat="1" applyBorder="1"/>
    <xf numFmtId="43" fontId="0" fillId="0" borderId="26" xfId="0" applyNumberFormat="1" applyBorder="1"/>
    <xf numFmtId="166" fontId="0" fillId="0" borderId="11" xfId="0" applyNumberFormat="1" applyBorder="1"/>
    <xf numFmtId="166" fontId="0" fillId="0" borderId="26" xfId="0" applyNumberFormat="1" applyBorder="1"/>
    <xf numFmtId="44" fontId="0" fillId="0" borderId="19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18" xfId="0" applyNumberFormat="1" applyBorder="1"/>
    <xf numFmtId="3" fontId="4" fillId="0" borderId="0" xfId="0" applyNumberFormat="1" applyFont="1" applyBorder="1"/>
    <xf numFmtId="3" fontId="4" fillId="0" borderId="26" xfId="0" applyNumberFormat="1" applyFont="1" applyBorder="1"/>
    <xf numFmtId="3" fontId="1" fillId="0" borderId="0" xfId="0" applyNumberFormat="1" applyFont="1" applyBorder="1"/>
    <xf numFmtId="165" fontId="0" fillId="0" borderId="0" xfId="1" applyNumberFormat="1" applyFont="1" applyBorder="1"/>
    <xf numFmtId="165" fontId="0" fillId="0" borderId="0" xfId="0" applyNumberFormat="1" applyBorder="1"/>
    <xf numFmtId="43" fontId="0" fillId="0" borderId="0" xfId="0" applyNumberFormat="1" applyBorder="1"/>
    <xf numFmtId="166" fontId="0" fillId="0" borderId="0" xfId="0" applyNumberFormat="1" applyBorder="1"/>
    <xf numFmtId="0" fontId="0" fillId="0" borderId="11" xfId="0" applyFill="1" applyBorder="1"/>
    <xf numFmtId="0" fontId="0" fillId="0" borderId="3" xfId="0" applyFill="1" applyBorder="1"/>
    <xf numFmtId="0" fontId="0" fillId="0" borderId="4" xfId="0" applyBorder="1"/>
    <xf numFmtId="0" fontId="0" fillId="0" borderId="25" xfId="0" applyBorder="1"/>
    <xf numFmtId="0" fontId="0" fillId="0" borderId="7" xfId="0" applyFill="1" applyBorder="1"/>
    <xf numFmtId="4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0" borderId="3" xfId="0" applyFont="1" applyFill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x@30%2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X22"/>
  <sheetViews>
    <sheetView workbookViewId="0">
      <selection activeCell="N28" sqref="N28"/>
    </sheetView>
  </sheetViews>
  <sheetFormatPr defaultRowHeight="14.4" x14ac:dyDescent="0.3"/>
  <cols>
    <col min="4" max="4" width="21.5546875" customWidth="1"/>
    <col min="11" max="11" width="10" customWidth="1"/>
    <col min="12" max="12" width="9.33203125" customWidth="1"/>
    <col min="19" max="19" width="26.88671875" customWidth="1"/>
    <col min="20" max="20" width="17.88671875" customWidth="1"/>
    <col min="21" max="21" width="12.109375" customWidth="1"/>
    <col min="23" max="23" width="8.88671875" customWidth="1"/>
    <col min="24" max="24" width="11.6640625" customWidth="1"/>
  </cols>
  <sheetData>
    <row r="2" spans="4:24" ht="15" thickBot="1" x14ac:dyDescent="0.35"/>
    <row r="3" spans="4:24" ht="15" thickBot="1" x14ac:dyDescent="0.35">
      <c r="O3" t="s">
        <v>24</v>
      </c>
      <c r="S3" s="119" t="s">
        <v>81</v>
      </c>
      <c r="T3" s="22"/>
      <c r="U3" s="22"/>
      <c r="V3" s="22"/>
      <c r="W3" s="22"/>
      <c r="X3" s="79" t="s">
        <v>78</v>
      </c>
    </row>
    <row r="4" spans="4:24" ht="15" thickBot="1" x14ac:dyDescent="0.35">
      <c r="D4" s="17" t="s">
        <v>23</v>
      </c>
      <c r="E4" s="18" t="s">
        <v>10</v>
      </c>
      <c r="F4" s="18" t="s">
        <v>11</v>
      </c>
      <c r="G4" s="18" t="s">
        <v>14</v>
      </c>
      <c r="H4" s="18" t="s">
        <v>13</v>
      </c>
      <c r="I4" s="18" t="s">
        <v>15</v>
      </c>
      <c r="J4" s="18" t="s">
        <v>16</v>
      </c>
      <c r="K4" s="18" t="s">
        <v>12</v>
      </c>
      <c r="L4" s="18" t="s">
        <v>17</v>
      </c>
      <c r="M4" s="18" t="s">
        <v>18</v>
      </c>
      <c r="N4" s="18" t="s">
        <v>19</v>
      </c>
      <c r="O4" s="18" t="s">
        <v>20</v>
      </c>
      <c r="P4" s="18" t="s">
        <v>21</v>
      </c>
      <c r="Q4" s="19" t="s">
        <v>22</v>
      </c>
      <c r="S4" s="120"/>
      <c r="T4" s="33"/>
      <c r="U4" s="80" t="s">
        <v>70</v>
      </c>
      <c r="V4" s="33">
        <v>2016</v>
      </c>
      <c r="W4" s="33">
        <v>2017</v>
      </c>
      <c r="X4" s="41">
        <v>2018</v>
      </c>
    </row>
    <row r="5" spans="4:24" x14ac:dyDescent="0.3">
      <c r="D5" s="63" t="s">
        <v>25</v>
      </c>
      <c r="E5" s="21">
        <v>701</v>
      </c>
      <c r="F5" s="22">
        <v>743</v>
      </c>
      <c r="G5" s="22">
        <v>810</v>
      </c>
      <c r="H5" s="23">
        <v>752</v>
      </c>
      <c r="I5" s="21">
        <v>840</v>
      </c>
      <c r="J5" s="22">
        <v>774</v>
      </c>
      <c r="K5" s="22">
        <v>817</v>
      </c>
      <c r="L5" s="23">
        <v>757</v>
      </c>
      <c r="M5" s="21">
        <v>776</v>
      </c>
      <c r="N5" s="22">
        <v>847</v>
      </c>
      <c r="O5" s="24">
        <v>1500</v>
      </c>
      <c r="P5" s="24">
        <v>2275</v>
      </c>
      <c r="Q5" s="25">
        <v>2146</v>
      </c>
      <c r="S5" s="120" t="s">
        <v>69</v>
      </c>
      <c r="T5" t="s">
        <v>53</v>
      </c>
      <c r="U5" s="40">
        <v>9000000</v>
      </c>
      <c r="V5" s="39">
        <v>9500000</v>
      </c>
      <c r="W5" s="39">
        <v>9700000</v>
      </c>
      <c r="X5" s="40">
        <v>12500000</v>
      </c>
    </row>
    <row r="6" spans="4:24" x14ac:dyDescent="0.3">
      <c r="D6" s="64" t="s">
        <v>0</v>
      </c>
      <c r="E6" s="1">
        <v>29620</v>
      </c>
      <c r="F6" s="2">
        <v>32487</v>
      </c>
      <c r="G6" s="2">
        <v>36152</v>
      </c>
      <c r="H6" s="3">
        <v>33111</v>
      </c>
      <c r="I6" s="1">
        <v>33995</v>
      </c>
      <c r="J6" s="2">
        <v>34149</v>
      </c>
      <c r="K6" s="2">
        <v>34985</v>
      </c>
      <c r="L6" s="3">
        <v>34307</v>
      </c>
      <c r="M6" s="1">
        <v>33016</v>
      </c>
      <c r="N6" s="2">
        <v>36130</v>
      </c>
      <c r="O6" s="2">
        <v>64764</v>
      </c>
      <c r="P6" s="2">
        <v>99992</v>
      </c>
      <c r="Q6" s="27">
        <v>97072</v>
      </c>
      <c r="S6" s="120"/>
      <c r="T6" t="s">
        <v>54</v>
      </c>
      <c r="U6" s="49">
        <v>44.68</v>
      </c>
      <c r="V6" s="49">
        <v>44</v>
      </c>
      <c r="W6" s="49">
        <v>45</v>
      </c>
      <c r="X6" s="76">
        <v>46</v>
      </c>
    </row>
    <row r="7" spans="4:24" x14ac:dyDescent="0.3">
      <c r="D7" s="64" t="s">
        <v>1</v>
      </c>
      <c r="E7" s="4">
        <f>E6/E5</f>
        <v>42.25392296718973</v>
      </c>
      <c r="F7" s="5">
        <f t="shared" ref="F7:Q7" si="0">F6/F5</f>
        <v>43.724091520861371</v>
      </c>
      <c r="G7" s="5">
        <f t="shared" si="0"/>
        <v>44.632098765432097</v>
      </c>
      <c r="H7" s="6">
        <f t="shared" si="0"/>
        <v>44.030585106382979</v>
      </c>
      <c r="I7" s="4">
        <f t="shared" si="0"/>
        <v>40.470238095238095</v>
      </c>
      <c r="J7" s="5">
        <f t="shared" si="0"/>
        <v>44.120155038759691</v>
      </c>
      <c r="K7" s="5">
        <f t="shared" si="0"/>
        <v>42.821297429620564</v>
      </c>
      <c r="L7" s="6">
        <f t="shared" si="0"/>
        <v>45.319682959048876</v>
      </c>
      <c r="M7" s="4">
        <f t="shared" si="0"/>
        <v>42.546391752577321</v>
      </c>
      <c r="N7" s="5">
        <f t="shared" si="0"/>
        <v>42.65643447461629</v>
      </c>
      <c r="O7" s="5">
        <f t="shared" si="0"/>
        <v>43.176000000000002</v>
      </c>
      <c r="P7" s="5">
        <f t="shared" si="0"/>
        <v>43.952527472527471</v>
      </c>
      <c r="Q7" s="28">
        <f t="shared" si="0"/>
        <v>45.233923578751167</v>
      </c>
      <c r="S7" s="120"/>
      <c r="T7" s="71" t="s">
        <v>55</v>
      </c>
      <c r="U7" s="72">
        <v>30</v>
      </c>
      <c r="V7" s="72">
        <v>27</v>
      </c>
      <c r="W7" s="72">
        <v>26.5</v>
      </c>
      <c r="X7" s="72">
        <v>25</v>
      </c>
    </row>
    <row r="8" spans="4:24" x14ac:dyDescent="0.3">
      <c r="D8" s="64" t="s">
        <v>2</v>
      </c>
      <c r="E8" s="7"/>
      <c r="F8" s="8"/>
      <c r="G8" s="8"/>
      <c r="H8" s="16">
        <v>0.71699999999999997</v>
      </c>
      <c r="I8" s="13">
        <v>0.74</v>
      </c>
      <c r="J8" s="14">
        <v>0.70899999999999996</v>
      </c>
      <c r="K8" s="15">
        <v>0.68</v>
      </c>
      <c r="L8" s="16">
        <v>0.63</v>
      </c>
      <c r="M8" s="13">
        <v>0.66</v>
      </c>
      <c r="N8" s="15">
        <v>0.68</v>
      </c>
      <c r="O8" s="15">
        <v>0.64</v>
      </c>
      <c r="P8" s="15">
        <v>0.67</v>
      </c>
      <c r="Q8" s="29">
        <v>0.67</v>
      </c>
      <c r="S8" s="120"/>
      <c r="T8" s="69" t="s">
        <v>5</v>
      </c>
      <c r="U8" s="70">
        <f>U6-U7</f>
        <v>14.68</v>
      </c>
      <c r="V8" s="70">
        <f>V6-V7</f>
        <v>17</v>
      </c>
      <c r="W8" s="70">
        <f>W6-W7</f>
        <v>18.5</v>
      </c>
      <c r="X8" s="70">
        <f>X6-X7</f>
        <v>21</v>
      </c>
    </row>
    <row r="9" spans="4:24" x14ac:dyDescent="0.3">
      <c r="D9" s="64" t="s">
        <v>3</v>
      </c>
      <c r="E9" s="1">
        <v>18433</v>
      </c>
      <c r="F9" s="2">
        <v>18816</v>
      </c>
      <c r="G9" s="2">
        <v>20745</v>
      </c>
      <c r="H9" s="3">
        <v>21745</v>
      </c>
      <c r="I9" s="1">
        <v>20745</v>
      </c>
      <c r="J9" s="2">
        <v>22508</v>
      </c>
      <c r="K9" s="2">
        <v>23800</v>
      </c>
      <c r="L9" s="3">
        <v>24202</v>
      </c>
      <c r="M9" s="1">
        <v>23005</v>
      </c>
      <c r="N9" s="2">
        <v>26209</v>
      </c>
      <c r="O9" s="2">
        <v>52957</v>
      </c>
      <c r="P9" s="2">
        <v>67367</v>
      </c>
      <c r="Q9" s="27">
        <v>66152</v>
      </c>
      <c r="S9" s="120" t="s">
        <v>65</v>
      </c>
      <c r="T9" t="s">
        <v>66</v>
      </c>
      <c r="U9" s="49">
        <v>-4</v>
      </c>
      <c r="V9" s="49">
        <v>-4</v>
      </c>
      <c r="W9" s="49">
        <v>-4</v>
      </c>
      <c r="X9" s="49">
        <v>-4.5</v>
      </c>
    </row>
    <row r="10" spans="4:24" x14ac:dyDescent="0.3">
      <c r="D10" s="65" t="s">
        <v>4</v>
      </c>
      <c r="E10" s="59">
        <f>E9/E5</f>
        <v>26.295292439372325</v>
      </c>
      <c r="F10" s="60">
        <f t="shared" ref="F10:Q10" si="1">F9/F5</f>
        <v>25.324360699865412</v>
      </c>
      <c r="G10" s="60">
        <f t="shared" si="1"/>
        <v>25.611111111111111</v>
      </c>
      <c r="H10" s="61">
        <f t="shared" si="1"/>
        <v>28.916223404255319</v>
      </c>
      <c r="I10" s="55">
        <f t="shared" si="1"/>
        <v>24.696428571428573</v>
      </c>
      <c r="J10" s="56">
        <f t="shared" si="1"/>
        <v>29.080103359173126</v>
      </c>
      <c r="K10" s="56">
        <f t="shared" si="1"/>
        <v>29.13096695226438</v>
      </c>
      <c r="L10" s="57">
        <f t="shared" si="1"/>
        <v>31.970937912813739</v>
      </c>
      <c r="M10" s="55">
        <f t="shared" si="1"/>
        <v>29.645618556701031</v>
      </c>
      <c r="N10" s="56">
        <f t="shared" si="1"/>
        <v>30.943329397874852</v>
      </c>
      <c r="O10" s="62">
        <f t="shared" si="1"/>
        <v>35.30466666666667</v>
      </c>
      <c r="P10" s="56">
        <f t="shared" si="1"/>
        <v>29.611868131868132</v>
      </c>
      <c r="Q10" s="58">
        <f t="shared" si="1"/>
        <v>30.825722273998135</v>
      </c>
      <c r="S10" s="120"/>
      <c r="T10" s="73" t="s">
        <v>67</v>
      </c>
      <c r="U10" s="74">
        <f>U8+U9</f>
        <v>10.68</v>
      </c>
      <c r="V10" s="74">
        <f>V8+V9</f>
        <v>13</v>
      </c>
      <c r="W10" s="74">
        <f>W8+W9</f>
        <v>14.5</v>
      </c>
      <c r="X10" s="74">
        <f>X8+X9</f>
        <v>16.5</v>
      </c>
    </row>
    <row r="11" spans="4:24" x14ac:dyDescent="0.3">
      <c r="D11" s="64" t="s">
        <v>5</v>
      </c>
      <c r="E11" s="1">
        <f>E6-E9</f>
        <v>11187</v>
      </c>
      <c r="F11" s="2">
        <f t="shared" ref="F11:Q11" si="2">F6-F9</f>
        <v>13671</v>
      </c>
      <c r="G11" s="2">
        <f t="shared" si="2"/>
        <v>15407</v>
      </c>
      <c r="H11" s="3">
        <f t="shared" si="2"/>
        <v>11366</v>
      </c>
      <c r="I11" s="1">
        <f t="shared" si="2"/>
        <v>13250</v>
      </c>
      <c r="J11" s="2">
        <f t="shared" si="2"/>
        <v>11641</v>
      </c>
      <c r="K11" s="2">
        <f t="shared" si="2"/>
        <v>11185</v>
      </c>
      <c r="L11" s="3">
        <f t="shared" si="2"/>
        <v>10105</v>
      </c>
      <c r="M11" s="1">
        <f t="shared" si="2"/>
        <v>10011</v>
      </c>
      <c r="N11" s="2">
        <f t="shared" si="2"/>
        <v>9921</v>
      </c>
      <c r="O11" s="2">
        <f t="shared" si="2"/>
        <v>11807</v>
      </c>
      <c r="P11" s="2">
        <f t="shared" si="2"/>
        <v>32625</v>
      </c>
      <c r="Q11" s="27">
        <f t="shared" si="2"/>
        <v>30920</v>
      </c>
      <c r="S11" s="120"/>
      <c r="T11" t="s">
        <v>57</v>
      </c>
      <c r="U11" s="68">
        <f>(292*-0.045)/9</f>
        <v>-1.46</v>
      </c>
      <c r="V11" s="68">
        <f>(220*AB19-0.045)/9.5</f>
        <v>-4.7368421052631574E-3</v>
      </c>
      <c r="W11" s="68">
        <f>(160*-0.045)/9.7</f>
        <v>-0.74226804123711343</v>
      </c>
      <c r="X11" s="68">
        <f>(250*-0.05)/12.5</f>
        <v>-1</v>
      </c>
    </row>
    <row r="12" spans="4:24" x14ac:dyDescent="0.3">
      <c r="D12" s="64" t="s">
        <v>6</v>
      </c>
      <c r="E12" s="9">
        <f>E11/E5</f>
        <v>15.958630527817403</v>
      </c>
      <c r="F12" s="10">
        <f t="shared" ref="F12:Q12" si="3">F11/F5</f>
        <v>18.399730820995963</v>
      </c>
      <c r="G12" s="10">
        <f t="shared" si="3"/>
        <v>19.020987654320987</v>
      </c>
      <c r="H12" s="11">
        <f t="shared" si="3"/>
        <v>15.11436170212766</v>
      </c>
      <c r="I12" s="9">
        <f t="shared" si="3"/>
        <v>15.773809523809524</v>
      </c>
      <c r="J12" s="10">
        <f t="shared" si="3"/>
        <v>15.040051679586563</v>
      </c>
      <c r="K12" s="10">
        <f t="shared" si="3"/>
        <v>13.690330477356181</v>
      </c>
      <c r="L12" s="11">
        <f t="shared" si="3"/>
        <v>13.348745046235139</v>
      </c>
      <c r="M12" s="9">
        <f t="shared" si="3"/>
        <v>12.900773195876289</v>
      </c>
      <c r="N12" s="10">
        <f t="shared" si="3"/>
        <v>11.71310507674144</v>
      </c>
      <c r="O12" s="10">
        <f t="shared" si="3"/>
        <v>7.8713333333333333</v>
      </c>
      <c r="P12" s="10">
        <f t="shared" si="3"/>
        <v>14.340659340659341</v>
      </c>
      <c r="Q12" s="30">
        <f t="shared" si="3"/>
        <v>14.408201304753028</v>
      </c>
      <c r="S12" s="120"/>
      <c r="T12" s="73" t="s">
        <v>56</v>
      </c>
      <c r="U12" s="74">
        <f>SUM(U10:U11)</f>
        <v>9.2199999999999989</v>
      </c>
      <c r="V12" s="74">
        <f>SUM(V10:V11)</f>
        <v>12.995263157894737</v>
      </c>
      <c r="W12" s="74">
        <f>SUM(W10:W11)</f>
        <v>13.757731958762886</v>
      </c>
      <c r="X12" s="74">
        <f>SUM(X10:X11)</f>
        <v>15.5</v>
      </c>
    </row>
    <row r="13" spans="4:24" x14ac:dyDescent="0.3">
      <c r="D13" s="64" t="s">
        <v>7</v>
      </c>
      <c r="E13" s="1">
        <v>2372</v>
      </c>
      <c r="F13" s="2">
        <v>1857</v>
      </c>
      <c r="G13" s="2">
        <v>4993</v>
      </c>
      <c r="H13" s="3">
        <v>16987</v>
      </c>
      <c r="I13" s="1">
        <v>4993</v>
      </c>
      <c r="J13" s="2">
        <v>6174</v>
      </c>
      <c r="K13" s="2">
        <v>8780</v>
      </c>
      <c r="L13" s="3">
        <v>7834</v>
      </c>
      <c r="M13" s="1">
        <v>2936</v>
      </c>
      <c r="N13" s="2">
        <v>6190</v>
      </c>
      <c r="O13" s="2">
        <v>5200</v>
      </c>
      <c r="P13" s="2">
        <v>11509</v>
      </c>
      <c r="Q13" s="27">
        <v>8250</v>
      </c>
      <c r="S13" s="120" t="s">
        <v>82</v>
      </c>
      <c r="T13" t="s">
        <v>58</v>
      </c>
      <c r="U13" s="49">
        <f>(-15000000)/9000000</f>
        <v>-1.6666666666666667</v>
      </c>
      <c r="V13" s="49">
        <f>(-15000000)/9500000</f>
        <v>-1.5789473684210527</v>
      </c>
      <c r="W13" s="49">
        <f>(-15000000)/9700000</f>
        <v>-1.5463917525773196</v>
      </c>
      <c r="X13" s="49">
        <f>(-16000000)/12500000</f>
        <v>-1.28</v>
      </c>
    </row>
    <row r="14" spans="4:24" x14ac:dyDescent="0.3">
      <c r="D14" s="64" t="s">
        <v>8</v>
      </c>
      <c r="E14" s="7"/>
      <c r="F14" s="8"/>
      <c r="G14" s="8"/>
      <c r="H14" s="12"/>
      <c r="I14" s="7"/>
      <c r="J14" s="2">
        <v>2727</v>
      </c>
      <c r="K14" s="2">
        <v>5638</v>
      </c>
      <c r="L14" s="3">
        <v>2721</v>
      </c>
      <c r="M14" s="1">
        <v>2650</v>
      </c>
      <c r="N14" s="2">
        <v>3974</v>
      </c>
      <c r="O14" s="2">
        <v>4756</v>
      </c>
      <c r="P14" s="2">
        <v>11162</v>
      </c>
      <c r="Q14" s="27">
        <v>6685</v>
      </c>
      <c r="S14" s="120"/>
      <c r="T14" s="73" t="s">
        <v>59</v>
      </c>
      <c r="U14" s="74">
        <f>SUM(U12:U13)</f>
        <v>7.5533333333333319</v>
      </c>
      <c r="V14" s="74">
        <f>SUM(V12:V13)</f>
        <v>11.416315789473684</v>
      </c>
      <c r="W14" s="74">
        <f>SUM(W12:W13)</f>
        <v>12.211340206185566</v>
      </c>
      <c r="X14" s="74">
        <f>SUM(X12:X13)</f>
        <v>14.22</v>
      </c>
    </row>
    <row r="15" spans="4:24" x14ac:dyDescent="0.3">
      <c r="D15" s="64" t="s">
        <v>9</v>
      </c>
      <c r="E15" s="7"/>
      <c r="F15" s="8"/>
      <c r="G15" s="8"/>
      <c r="H15" s="12"/>
      <c r="I15" s="7"/>
      <c r="J15" s="5">
        <f>J14/J5</f>
        <v>3.5232558139534884</v>
      </c>
      <c r="K15" s="5">
        <f t="shared" ref="K15:Q15" si="4">K14/K5</f>
        <v>6.900856793145655</v>
      </c>
      <c r="L15" s="5">
        <f t="shared" si="4"/>
        <v>3.5944517833553502</v>
      </c>
      <c r="M15" s="4">
        <f t="shared" si="4"/>
        <v>3.4149484536082473</v>
      </c>
      <c r="N15" s="5">
        <f t="shared" si="4"/>
        <v>4.6918536009445102</v>
      </c>
      <c r="O15" s="5">
        <f t="shared" si="4"/>
        <v>3.1706666666666665</v>
      </c>
      <c r="P15" s="5">
        <f t="shared" si="4"/>
        <v>4.9063736263736262</v>
      </c>
      <c r="Q15" s="28">
        <f t="shared" si="4"/>
        <v>3.115097856477167</v>
      </c>
      <c r="S15" s="120" t="s">
        <v>79</v>
      </c>
      <c r="T15" s="67" t="s">
        <v>68</v>
      </c>
      <c r="U15" s="49">
        <f>U14*(1-0.3)</f>
        <v>5.2873333333333319</v>
      </c>
      <c r="V15" s="49">
        <f>V14*(1-0.3)</f>
        <v>7.9914210526315781</v>
      </c>
      <c r="W15" s="70">
        <f>W14*(1-0.35)</f>
        <v>7.9373711340206183</v>
      </c>
      <c r="X15" s="70">
        <f>X14*(1-0.35)</f>
        <v>9.2430000000000003</v>
      </c>
    </row>
    <row r="16" spans="4:24" ht="15" thickBot="1" x14ac:dyDescent="0.35">
      <c r="D16" s="66" t="s">
        <v>26</v>
      </c>
      <c r="E16" s="32"/>
      <c r="F16" s="33"/>
      <c r="G16" s="33"/>
      <c r="H16" s="34"/>
      <c r="I16" s="32"/>
      <c r="J16" s="35">
        <f>J12-J15</f>
        <v>11.516795865633075</v>
      </c>
      <c r="K16" s="35">
        <f t="shared" ref="K16:Q16" si="5">K12-K15</f>
        <v>6.7894736842105257</v>
      </c>
      <c r="L16" s="36">
        <f t="shared" si="5"/>
        <v>9.7542932628797896</v>
      </c>
      <c r="M16" s="37">
        <f t="shared" si="5"/>
        <v>9.4858247422680417</v>
      </c>
      <c r="N16" s="35">
        <f t="shared" si="5"/>
        <v>7.0212514757969302</v>
      </c>
      <c r="O16" s="35">
        <f t="shared" si="5"/>
        <v>4.7006666666666668</v>
      </c>
      <c r="P16" s="36">
        <f t="shared" si="5"/>
        <v>9.4342857142857142</v>
      </c>
      <c r="Q16" s="38">
        <f t="shared" si="5"/>
        <v>11.293103448275861</v>
      </c>
      <c r="S16" s="120" t="s">
        <v>76</v>
      </c>
      <c r="T16" s="73" t="s">
        <v>60</v>
      </c>
      <c r="U16" s="74">
        <f>(U15*U5)/29000000</f>
        <v>1.6408965517241374</v>
      </c>
      <c r="V16" s="74">
        <f>(V15*V5)/29000000</f>
        <v>2.617879310344827</v>
      </c>
      <c r="W16" s="74">
        <f>(W15*W5)/29000000</f>
        <v>2.6549137931034483</v>
      </c>
      <c r="X16" s="74">
        <f>(X15*X5)/29000000</f>
        <v>3.984051724137931</v>
      </c>
    </row>
    <row r="17" spans="5:24" x14ac:dyDescent="0.3">
      <c r="S17" s="120"/>
      <c r="T17" t="s">
        <v>72</v>
      </c>
      <c r="U17" s="49">
        <f>U16*8</f>
        <v>13.127172413793099</v>
      </c>
      <c r="V17" s="49">
        <f t="shared" ref="V17:X17" si="6">V16*8</f>
        <v>20.943034482758616</v>
      </c>
      <c r="W17" s="49">
        <f t="shared" si="6"/>
        <v>21.239310344827587</v>
      </c>
      <c r="X17" s="49">
        <f t="shared" si="6"/>
        <v>31.872413793103448</v>
      </c>
    </row>
    <row r="18" spans="5:24" x14ac:dyDescent="0.3">
      <c r="H18" s="8"/>
      <c r="I18" s="8"/>
      <c r="J18" s="8"/>
      <c r="K18" s="8"/>
      <c r="L18" s="8"/>
      <c r="M18" s="8"/>
      <c r="N18" s="8"/>
      <c r="O18" s="8"/>
      <c r="P18" s="8"/>
      <c r="S18" s="120"/>
      <c r="T18" t="s">
        <v>74</v>
      </c>
      <c r="U18" s="75">
        <v>1</v>
      </c>
      <c r="V18" s="75">
        <v>1</v>
      </c>
      <c r="W18" s="75">
        <v>1</v>
      </c>
      <c r="X18" s="75">
        <v>1</v>
      </c>
    </row>
    <row r="19" spans="5:24" ht="15" thickBot="1" x14ac:dyDescent="0.35">
      <c r="H19" s="8"/>
      <c r="I19" s="5"/>
      <c r="J19" s="5"/>
      <c r="K19" s="5"/>
      <c r="L19" s="5"/>
      <c r="M19" s="8"/>
      <c r="N19" s="5"/>
      <c r="O19" s="8"/>
      <c r="P19" s="8"/>
      <c r="S19" s="120"/>
      <c r="T19" s="73" t="s">
        <v>73</v>
      </c>
      <c r="U19" s="74">
        <f>SUM(U17:U18)</f>
        <v>14.127172413793099</v>
      </c>
      <c r="V19" s="74">
        <f>SUM(V17:V18)</f>
        <v>21.943034482758616</v>
      </c>
      <c r="W19" s="74">
        <f>SUM(W17:W18)</f>
        <v>22.239310344827587</v>
      </c>
      <c r="X19" s="74">
        <f>SUM(X17:X18)</f>
        <v>32.872413793103448</v>
      </c>
    </row>
    <row r="20" spans="5:24" ht="15" thickBot="1" x14ac:dyDescent="0.35">
      <c r="H20" s="8"/>
      <c r="I20" s="8"/>
      <c r="J20" s="8"/>
      <c r="K20" s="8"/>
      <c r="L20" s="8"/>
      <c r="M20" s="8"/>
      <c r="N20" s="8"/>
      <c r="O20" s="8"/>
      <c r="P20" s="8"/>
      <c r="S20" s="120" t="s">
        <v>77</v>
      </c>
      <c r="T20" s="115" t="s">
        <v>75</v>
      </c>
      <c r="U20" s="77">
        <f>(10*U16)+U18</f>
        <v>17.408965517241374</v>
      </c>
      <c r="V20" s="77">
        <f t="shared" ref="V20:W20" si="7">(10*V16)+V18</f>
        <v>27.178793103448271</v>
      </c>
      <c r="W20" s="77">
        <f t="shared" si="7"/>
        <v>27.549137931034483</v>
      </c>
      <c r="X20" s="78">
        <f t="shared" ref="X20" si="8">(10*X16)+X18</f>
        <v>40.84051724137931</v>
      </c>
    </row>
    <row r="21" spans="5:24" ht="15" thickBot="1" x14ac:dyDescent="0.35">
      <c r="S21" s="121" t="s">
        <v>80</v>
      </c>
    </row>
    <row r="22" spans="5:24" x14ac:dyDescent="0.3">
      <c r="E22" s="49"/>
      <c r="F22" s="49"/>
      <c r="G22" s="49"/>
      <c r="H22" s="49"/>
      <c r="I22" s="49"/>
    </row>
  </sheetData>
  <hyperlinks>
    <hyperlink ref="T1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53"/>
  <sheetViews>
    <sheetView tabSelected="1" workbookViewId="0">
      <selection activeCell="H54" sqref="H54"/>
    </sheetView>
  </sheetViews>
  <sheetFormatPr defaultRowHeight="14.4" x14ac:dyDescent="0.3"/>
  <cols>
    <col min="4" max="4" width="32.21875" customWidth="1"/>
    <col min="5" max="5" width="13.6640625" bestFit="1" customWidth="1"/>
    <col min="6" max="7" width="11.109375" bestFit="1" customWidth="1"/>
    <col min="8" max="8" width="14.6640625" bestFit="1" customWidth="1"/>
    <col min="9" max="10" width="11.109375" bestFit="1" customWidth="1"/>
    <col min="11" max="11" width="12.44140625" bestFit="1" customWidth="1"/>
  </cols>
  <sheetData>
    <row r="4" spans="4:13" ht="15" thickBot="1" x14ac:dyDescent="0.35"/>
    <row r="5" spans="4:13" x14ac:dyDescent="0.3">
      <c r="D5" s="20"/>
      <c r="E5" s="42"/>
      <c r="F5" s="42"/>
      <c r="G5" s="42"/>
      <c r="H5" s="42"/>
      <c r="I5" s="42"/>
      <c r="J5" s="63" t="s">
        <v>50</v>
      </c>
      <c r="K5" s="43" t="s">
        <v>47</v>
      </c>
    </row>
    <row r="6" spans="4:13" ht="15" thickBot="1" x14ac:dyDescent="0.35">
      <c r="D6" s="31" t="s">
        <v>62</v>
      </c>
      <c r="E6" s="44">
        <v>2009</v>
      </c>
      <c r="F6" s="44">
        <f>E6+1</f>
        <v>2010</v>
      </c>
      <c r="G6" s="44">
        <f t="shared" ref="G6:K6" si="0">F6+1</f>
        <v>2011</v>
      </c>
      <c r="H6" s="44">
        <f t="shared" si="0"/>
        <v>2012</v>
      </c>
      <c r="I6" s="44">
        <f t="shared" si="0"/>
        <v>2013</v>
      </c>
      <c r="J6" s="66">
        <f t="shared" si="0"/>
        <v>2014</v>
      </c>
      <c r="K6" s="45">
        <f t="shared" si="0"/>
        <v>2015</v>
      </c>
    </row>
    <row r="7" spans="4:13" x14ac:dyDescent="0.3">
      <c r="D7" s="20" t="s">
        <v>27</v>
      </c>
      <c r="E7" s="24">
        <v>30269</v>
      </c>
      <c r="F7" s="24">
        <v>26232</v>
      </c>
      <c r="G7" s="24">
        <v>48876</v>
      </c>
      <c r="H7" s="24">
        <v>34863</v>
      </c>
      <c r="I7" s="105">
        <v>40170</v>
      </c>
      <c r="J7" s="81">
        <v>84409</v>
      </c>
      <c r="K7" s="82">
        <v>86524</v>
      </c>
    </row>
    <row r="8" spans="4:13" x14ac:dyDescent="0.3">
      <c r="D8" s="26" t="s">
        <v>28</v>
      </c>
      <c r="E8" s="106">
        <v>134821</v>
      </c>
      <c r="F8" s="106">
        <v>160423</v>
      </c>
      <c r="G8" s="106">
        <v>183552</v>
      </c>
      <c r="H8" s="106">
        <v>194344</v>
      </c>
      <c r="I8" s="107">
        <v>219029</v>
      </c>
      <c r="J8" s="83">
        <v>495176</v>
      </c>
      <c r="K8" s="84">
        <f>576536-86524</f>
        <v>490012</v>
      </c>
    </row>
    <row r="9" spans="4:13" x14ac:dyDescent="0.3">
      <c r="D9" s="26" t="s">
        <v>29</v>
      </c>
      <c r="E9" s="108">
        <f>SUM(E7:E8)</f>
        <v>165090</v>
      </c>
      <c r="F9" s="108">
        <f t="shared" ref="F9:K9" si="1">SUM(F7:F8)</f>
        <v>186655</v>
      </c>
      <c r="G9" s="108">
        <f t="shared" si="1"/>
        <v>232428</v>
      </c>
      <c r="H9" s="108">
        <f t="shared" si="1"/>
        <v>229207</v>
      </c>
      <c r="I9" s="86">
        <f t="shared" si="1"/>
        <v>259199</v>
      </c>
      <c r="J9" s="85">
        <f t="shared" si="1"/>
        <v>579585</v>
      </c>
      <c r="K9" s="86">
        <f t="shared" si="1"/>
        <v>576536</v>
      </c>
    </row>
    <row r="10" spans="4:13" x14ac:dyDescent="0.3">
      <c r="D10" s="26"/>
      <c r="E10" s="8"/>
      <c r="F10" s="8"/>
      <c r="G10" s="8"/>
      <c r="H10" s="8"/>
      <c r="I10" s="87"/>
      <c r="J10" s="26"/>
      <c r="K10" s="87"/>
    </row>
    <row r="11" spans="4:13" x14ac:dyDescent="0.3">
      <c r="D11" s="26" t="s">
        <v>30</v>
      </c>
      <c r="E11" s="109">
        <v>10593</v>
      </c>
      <c r="F11" s="109">
        <v>9501</v>
      </c>
      <c r="G11" s="109">
        <v>15596</v>
      </c>
      <c r="H11" s="109">
        <v>11046</v>
      </c>
      <c r="I11" s="89">
        <v>10357</v>
      </c>
      <c r="J11" s="88">
        <v>28105</v>
      </c>
      <c r="K11" s="89">
        <v>29029</v>
      </c>
    </row>
    <row r="12" spans="4:13" x14ac:dyDescent="0.3">
      <c r="D12" s="26" t="s">
        <v>31</v>
      </c>
      <c r="E12" s="2">
        <v>37500</v>
      </c>
      <c r="F12" s="2">
        <v>27500</v>
      </c>
      <c r="G12" s="8">
        <v>17500</v>
      </c>
      <c r="H12" s="8">
        <v>11400</v>
      </c>
      <c r="I12" s="87">
        <v>16000</v>
      </c>
      <c r="J12" s="81">
        <v>306345</v>
      </c>
      <c r="K12" s="82">
        <v>267908</v>
      </c>
      <c r="M12" s="46"/>
    </row>
    <row r="13" spans="4:13" x14ac:dyDescent="0.3">
      <c r="D13" s="26" t="s">
        <v>32</v>
      </c>
      <c r="E13" s="109">
        <v>1699</v>
      </c>
      <c r="F13" s="109">
        <v>17435</v>
      </c>
      <c r="G13" s="109">
        <v>31100</v>
      </c>
      <c r="H13" s="109">
        <v>35884</v>
      </c>
      <c r="I13" s="89">
        <v>43304</v>
      </c>
      <c r="J13" s="88">
        <v>41581</v>
      </c>
      <c r="K13" s="89">
        <v>43577</v>
      </c>
    </row>
    <row r="14" spans="4:13" x14ac:dyDescent="0.3">
      <c r="D14" s="26" t="s">
        <v>33</v>
      </c>
      <c r="E14" s="109">
        <v>6671</v>
      </c>
      <c r="F14" s="109">
        <v>5495</v>
      </c>
      <c r="G14" s="109">
        <v>7239</v>
      </c>
      <c r="H14" s="109">
        <v>8868</v>
      </c>
      <c r="I14" s="89">
        <v>7418</v>
      </c>
      <c r="J14" s="88">
        <v>13679</v>
      </c>
      <c r="K14" s="89">
        <f>12073+2880</f>
        <v>14953</v>
      </c>
    </row>
    <row r="15" spans="4:13" x14ac:dyDescent="0.3">
      <c r="D15" s="26" t="s">
        <v>51</v>
      </c>
      <c r="E15" s="8"/>
      <c r="F15" s="8"/>
      <c r="G15" s="8"/>
      <c r="H15" s="8"/>
      <c r="I15" s="87"/>
      <c r="J15" s="26"/>
      <c r="K15" s="82">
        <v>24063</v>
      </c>
    </row>
    <row r="16" spans="4:13" x14ac:dyDescent="0.3">
      <c r="D16" s="26" t="s">
        <v>34</v>
      </c>
      <c r="E16" s="110">
        <f>SUM(E11:E15)</f>
        <v>56463</v>
      </c>
      <c r="F16" s="110">
        <f t="shared" ref="F16:K16" si="2">SUM(F11:F15)</f>
        <v>59931</v>
      </c>
      <c r="G16" s="110">
        <f t="shared" si="2"/>
        <v>71435</v>
      </c>
      <c r="H16" s="110">
        <f t="shared" si="2"/>
        <v>67198</v>
      </c>
      <c r="I16" s="91">
        <f t="shared" si="2"/>
        <v>77079</v>
      </c>
      <c r="J16" s="90">
        <f t="shared" si="2"/>
        <v>389710</v>
      </c>
      <c r="K16" s="91">
        <f t="shared" si="2"/>
        <v>379530</v>
      </c>
    </row>
    <row r="17" spans="4:15" ht="15" thickBot="1" x14ac:dyDescent="0.35">
      <c r="D17" s="26"/>
      <c r="E17" s="8"/>
      <c r="F17" s="8"/>
      <c r="G17" s="8"/>
      <c r="H17" s="8"/>
      <c r="I17" s="87"/>
      <c r="J17" s="26"/>
      <c r="K17" s="87"/>
    </row>
    <row r="18" spans="4:15" ht="15" thickBot="1" x14ac:dyDescent="0.35">
      <c r="D18" s="17" t="s">
        <v>35</v>
      </c>
      <c r="E18" s="47">
        <f>E9-E16</f>
        <v>108627</v>
      </c>
      <c r="F18" s="47">
        <f t="shared" ref="F18:K18" si="3">F9-F16</f>
        <v>126724</v>
      </c>
      <c r="G18" s="47">
        <f t="shared" si="3"/>
        <v>160993</v>
      </c>
      <c r="H18" s="47">
        <f t="shared" si="3"/>
        <v>162009</v>
      </c>
      <c r="I18" s="48">
        <f t="shared" si="3"/>
        <v>182120</v>
      </c>
      <c r="J18" s="92">
        <f t="shared" si="3"/>
        <v>189875</v>
      </c>
      <c r="K18" s="48">
        <f t="shared" si="3"/>
        <v>197006</v>
      </c>
    </row>
    <row r="19" spans="4:15" x14ac:dyDescent="0.3">
      <c r="D19" s="26" t="s">
        <v>36</v>
      </c>
      <c r="E19" s="8"/>
      <c r="F19" s="8"/>
      <c r="G19" s="8"/>
      <c r="H19" s="8"/>
      <c r="I19" s="87"/>
      <c r="J19" s="26"/>
      <c r="K19" s="87"/>
    </row>
    <row r="20" spans="4:15" x14ac:dyDescent="0.3">
      <c r="D20" s="26" t="s">
        <v>37</v>
      </c>
      <c r="E20" s="2">
        <v>24017</v>
      </c>
      <c r="F20" s="2">
        <v>27790</v>
      </c>
      <c r="G20" s="2">
        <v>28135</v>
      </c>
      <c r="H20" s="2">
        <v>28331</v>
      </c>
      <c r="I20" s="82">
        <v>28595</v>
      </c>
      <c r="J20" s="81">
        <v>28776</v>
      </c>
      <c r="K20" s="82">
        <v>28962</v>
      </c>
    </row>
    <row r="21" spans="4:15" x14ac:dyDescent="0.3">
      <c r="D21" s="26" t="s">
        <v>38</v>
      </c>
      <c r="E21" s="2">
        <v>24441</v>
      </c>
      <c r="F21" s="2">
        <v>28571</v>
      </c>
      <c r="G21" s="2">
        <v>28694</v>
      </c>
      <c r="H21" s="2">
        <v>28843</v>
      </c>
      <c r="I21" s="82">
        <v>28906</v>
      </c>
      <c r="J21" s="81">
        <v>28776</v>
      </c>
      <c r="K21" s="82">
        <v>28962</v>
      </c>
    </row>
    <row r="22" spans="4:15" ht="15" thickBot="1" x14ac:dyDescent="0.35">
      <c r="D22" s="26"/>
      <c r="E22" s="8"/>
      <c r="F22" s="8"/>
      <c r="G22" s="8"/>
      <c r="H22" s="8"/>
      <c r="I22" s="87"/>
      <c r="J22" s="26"/>
      <c r="K22" s="87"/>
    </row>
    <row r="23" spans="4:15" x14ac:dyDescent="0.3">
      <c r="D23" s="20" t="s">
        <v>39</v>
      </c>
      <c r="E23" s="53">
        <f>E18/E20</f>
        <v>4.5229212641045926</v>
      </c>
      <c r="F23" s="53">
        <f t="shared" ref="F23:K23" si="4">F18/F20</f>
        <v>4.5600575746671463</v>
      </c>
      <c r="G23" s="53">
        <f t="shared" si="4"/>
        <v>5.7221610094188735</v>
      </c>
      <c r="H23" s="53">
        <f t="shared" si="4"/>
        <v>5.7184356358758954</v>
      </c>
      <c r="I23" s="54">
        <f t="shared" si="4"/>
        <v>6.368945619863613</v>
      </c>
      <c r="J23" s="93">
        <f t="shared" si="4"/>
        <v>6.5983805949402283</v>
      </c>
      <c r="K23" s="54">
        <f t="shared" si="4"/>
        <v>6.8022236033423109</v>
      </c>
    </row>
    <row r="24" spans="4:15" ht="15" thickBot="1" x14ac:dyDescent="0.35">
      <c r="D24" s="31" t="s">
        <v>40</v>
      </c>
      <c r="E24" s="33"/>
      <c r="F24" s="33">
        <v>0.12</v>
      </c>
      <c r="G24" s="33">
        <v>0.14000000000000001</v>
      </c>
      <c r="H24" s="33">
        <v>0.8</v>
      </c>
      <c r="I24" s="41">
        <v>0.12</v>
      </c>
      <c r="J24" s="31">
        <v>0.16</v>
      </c>
      <c r="K24" s="41">
        <v>0.04</v>
      </c>
    </row>
    <row r="25" spans="4:15" x14ac:dyDescent="0.3">
      <c r="D25" s="26"/>
      <c r="E25" s="8"/>
      <c r="F25" s="8"/>
      <c r="G25" s="8"/>
      <c r="H25" s="8"/>
      <c r="I25" s="87"/>
      <c r="J25" s="26"/>
      <c r="K25" s="87"/>
    </row>
    <row r="26" spans="4:15" x14ac:dyDescent="0.3">
      <c r="D26" s="26" t="s">
        <v>41</v>
      </c>
      <c r="E26" s="2">
        <v>20185</v>
      </c>
      <c r="F26" s="2">
        <v>22375</v>
      </c>
      <c r="G26" s="2">
        <v>35809</v>
      </c>
      <c r="H26" s="2">
        <v>23807</v>
      </c>
      <c r="I26" s="82">
        <v>22423</v>
      </c>
      <c r="J26" s="81">
        <v>10219</v>
      </c>
      <c r="K26" s="82">
        <v>7591</v>
      </c>
    </row>
    <row r="27" spans="4:15" x14ac:dyDescent="0.3">
      <c r="D27" s="26"/>
      <c r="E27" s="8"/>
      <c r="F27" s="8"/>
      <c r="G27" s="8"/>
      <c r="H27" s="8"/>
      <c r="I27" s="87"/>
      <c r="J27" s="26"/>
      <c r="K27" s="87"/>
    </row>
    <row r="28" spans="4:15" x14ac:dyDescent="0.3">
      <c r="D28" s="26" t="s">
        <v>42</v>
      </c>
      <c r="E28" s="5">
        <f>E26/E20</f>
        <v>0.84044635050172789</v>
      </c>
      <c r="F28" s="5">
        <f t="shared" ref="F28:I28" si="5">F26/F20</f>
        <v>0.80514573587621452</v>
      </c>
      <c r="G28" s="5">
        <f t="shared" si="5"/>
        <v>1.2727563532966057</v>
      </c>
      <c r="H28" s="5">
        <f t="shared" si="5"/>
        <v>0.84031626133916915</v>
      </c>
      <c r="I28" s="95">
        <f t="shared" si="5"/>
        <v>0.78415806959258616</v>
      </c>
      <c r="J28" s="94">
        <v>0.34</v>
      </c>
      <c r="K28" s="95">
        <v>0.25</v>
      </c>
    </row>
    <row r="29" spans="4:15" x14ac:dyDescent="0.3">
      <c r="D29" s="26" t="s">
        <v>43</v>
      </c>
      <c r="E29" s="5">
        <f>E26/E21</f>
        <v>0.82586637207970215</v>
      </c>
      <c r="F29" s="5">
        <f t="shared" ref="F29:I29" si="6">F26/F21</f>
        <v>0.78313674705120573</v>
      </c>
      <c r="G29" s="5">
        <f t="shared" si="6"/>
        <v>1.2479612462535721</v>
      </c>
      <c r="H29" s="5">
        <f t="shared" si="6"/>
        <v>0.82539957702042088</v>
      </c>
      <c r="I29" s="95">
        <f t="shared" si="6"/>
        <v>0.77572130353559809</v>
      </c>
      <c r="J29" s="94">
        <v>0.34</v>
      </c>
      <c r="K29" s="95">
        <v>0.25</v>
      </c>
    </row>
    <row r="30" spans="4:15" ht="15" thickBot="1" x14ac:dyDescent="0.35">
      <c r="D30" s="26"/>
      <c r="E30" s="8"/>
      <c r="F30" s="8"/>
      <c r="G30" s="8"/>
      <c r="H30" s="8"/>
      <c r="I30" s="87"/>
      <c r="J30" s="26"/>
      <c r="K30" s="87"/>
    </row>
    <row r="31" spans="4:15" ht="15" thickBot="1" x14ac:dyDescent="0.35">
      <c r="D31" s="50" t="s">
        <v>44</v>
      </c>
      <c r="E31" s="51">
        <v>44834</v>
      </c>
      <c r="F31" s="51">
        <v>50373</v>
      </c>
      <c r="G31" s="51">
        <v>72124</v>
      </c>
      <c r="H31" s="51">
        <v>51599</v>
      </c>
      <c r="I31" s="52">
        <v>49730</v>
      </c>
      <c r="J31" s="96">
        <v>49022</v>
      </c>
      <c r="K31" s="52">
        <f>11003+5456+11338</f>
        <v>27797</v>
      </c>
      <c r="O31" s="116"/>
    </row>
    <row r="32" spans="4:15" ht="15" thickBot="1" x14ac:dyDescent="0.35">
      <c r="D32" s="26"/>
      <c r="E32" s="8"/>
      <c r="F32" s="8"/>
      <c r="G32" s="8"/>
      <c r="H32" s="8"/>
      <c r="I32" s="87"/>
      <c r="J32" s="26"/>
      <c r="K32" s="87"/>
    </row>
    <row r="33" spans="4:11" ht="15" thickBot="1" x14ac:dyDescent="0.35">
      <c r="D33" s="50" t="s">
        <v>45</v>
      </c>
      <c r="E33" s="102">
        <v>45220</v>
      </c>
      <c r="F33" s="102">
        <v>45545</v>
      </c>
      <c r="G33" s="102">
        <v>60720</v>
      </c>
      <c r="H33" s="102">
        <v>37042</v>
      </c>
      <c r="I33" s="104">
        <v>27181</v>
      </c>
      <c r="J33" s="103">
        <v>55866</v>
      </c>
      <c r="K33" s="104">
        <v>21963</v>
      </c>
    </row>
    <row r="34" spans="4:11" x14ac:dyDescent="0.3">
      <c r="D34" s="26"/>
      <c r="E34" s="8"/>
      <c r="F34" s="8"/>
      <c r="G34" s="8"/>
      <c r="H34" s="8"/>
      <c r="I34" s="87"/>
      <c r="J34" s="26"/>
      <c r="K34" s="87"/>
    </row>
    <row r="35" spans="4:11" x14ac:dyDescent="0.3">
      <c r="D35" s="26" t="s">
        <v>46</v>
      </c>
      <c r="E35" s="2">
        <v>44220</v>
      </c>
      <c r="F35" s="2">
        <v>35629</v>
      </c>
      <c r="G35" s="2">
        <v>32995</v>
      </c>
      <c r="H35" s="2">
        <v>26209</v>
      </c>
      <c r="I35" s="82">
        <v>34228</v>
      </c>
      <c r="J35" s="81">
        <v>25835</v>
      </c>
      <c r="K35" s="82">
        <v>8250</v>
      </c>
    </row>
    <row r="36" spans="4:11" x14ac:dyDescent="0.3">
      <c r="D36" s="26" t="s">
        <v>52</v>
      </c>
      <c r="E36" s="8"/>
      <c r="F36" s="8"/>
      <c r="G36" s="8"/>
      <c r="H36" s="8"/>
      <c r="I36" s="87"/>
      <c r="J36" s="26"/>
      <c r="K36" s="82">
        <v>6685</v>
      </c>
    </row>
    <row r="37" spans="4:11" x14ac:dyDescent="0.3">
      <c r="D37" s="26" t="s">
        <v>48</v>
      </c>
      <c r="E37" s="111">
        <f>E7/E11</f>
        <v>2.8574530350231284</v>
      </c>
      <c r="F37" s="111">
        <f t="shared" ref="F37:K37" si="7">F7/F11</f>
        <v>2.7609725292074518</v>
      </c>
      <c r="G37" s="111">
        <f>G7/G11</f>
        <v>3.1338804821749164</v>
      </c>
      <c r="H37" s="111">
        <f t="shared" si="7"/>
        <v>3.1561651276480176</v>
      </c>
      <c r="I37" s="98">
        <f t="shared" si="7"/>
        <v>3.8785362556724921</v>
      </c>
      <c r="J37" s="97">
        <f t="shared" si="7"/>
        <v>3.0033446006048745</v>
      </c>
      <c r="K37" s="98">
        <f t="shared" si="7"/>
        <v>2.9806056012952564</v>
      </c>
    </row>
    <row r="38" spans="4:11" x14ac:dyDescent="0.3">
      <c r="D38" s="26" t="s">
        <v>49</v>
      </c>
      <c r="E38" s="8"/>
      <c r="F38" s="8"/>
      <c r="G38" s="8"/>
      <c r="H38" s="8"/>
      <c r="I38" s="87"/>
      <c r="J38" s="26"/>
      <c r="K38" s="87"/>
    </row>
    <row r="39" spans="4:11" x14ac:dyDescent="0.3">
      <c r="D39" s="26" t="s">
        <v>61</v>
      </c>
      <c r="E39" s="112">
        <f>E31-E35</f>
        <v>614</v>
      </c>
      <c r="F39" s="112">
        <f t="shared" ref="F39:J39" si="8">F31-F35</f>
        <v>14744</v>
      </c>
      <c r="G39" s="112">
        <f t="shared" si="8"/>
        <v>39129</v>
      </c>
      <c r="H39" s="112">
        <f t="shared" si="8"/>
        <v>25390</v>
      </c>
      <c r="I39" s="100">
        <f t="shared" si="8"/>
        <v>15502</v>
      </c>
      <c r="J39" s="99">
        <f t="shared" si="8"/>
        <v>23187</v>
      </c>
      <c r="K39" s="100">
        <f>K31-K36</f>
        <v>21112</v>
      </c>
    </row>
    <row r="40" spans="4:11" x14ac:dyDescent="0.3">
      <c r="D40" s="26" t="s">
        <v>63</v>
      </c>
      <c r="E40" s="8"/>
      <c r="F40" s="8"/>
      <c r="G40" s="8"/>
      <c r="H40" s="8"/>
      <c r="I40" s="87"/>
      <c r="J40" s="26"/>
      <c r="K40" s="100">
        <f>4*K39</f>
        <v>84448</v>
      </c>
    </row>
    <row r="41" spans="4:11" ht="15" thickBot="1" x14ac:dyDescent="0.35">
      <c r="D41" s="31" t="s">
        <v>64</v>
      </c>
      <c r="E41" s="33"/>
      <c r="F41" s="33"/>
      <c r="G41" s="33"/>
      <c r="H41" s="33"/>
      <c r="I41" s="41"/>
      <c r="J41" s="31"/>
      <c r="K41" s="101">
        <f>K40/29000</f>
        <v>2.9119999999999999</v>
      </c>
    </row>
    <row r="42" spans="4:11" x14ac:dyDescent="0.3">
      <c r="D42" s="117" t="s">
        <v>84</v>
      </c>
      <c r="E42" s="22"/>
      <c r="F42" s="22"/>
      <c r="G42" s="22"/>
      <c r="H42" s="22"/>
      <c r="I42" s="22"/>
      <c r="J42" s="22"/>
      <c r="K42" s="79">
        <f>-(270*0.05)/20</f>
        <v>-0.67500000000000004</v>
      </c>
    </row>
    <row r="43" spans="4:11" ht="15" thickBot="1" x14ac:dyDescent="0.35">
      <c r="D43" s="113" t="s">
        <v>85</v>
      </c>
      <c r="E43" s="8"/>
      <c r="F43" s="8"/>
      <c r="G43" s="8"/>
      <c r="H43" s="8"/>
      <c r="I43" s="8"/>
      <c r="J43" s="8"/>
      <c r="K43" s="118">
        <f>SUM(K41:K42)</f>
        <v>2.2370000000000001</v>
      </c>
    </row>
    <row r="44" spans="4:11" ht="15" thickBot="1" x14ac:dyDescent="0.35">
      <c r="D44" s="114" t="s">
        <v>83</v>
      </c>
      <c r="E44" s="115"/>
      <c r="F44" s="115"/>
      <c r="G44" s="115"/>
      <c r="H44" s="115"/>
      <c r="I44" s="115"/>
      <c r="J44" s="115"/>
      <c r="K44" s="78">
        <f>K43*(1-0.3)</f>
        <v>1.5659000000000001</v>
      </c>
    </row>
    <row r="45" spans="4:11" x14ac:dyDescent="0.3">
      <c r="D45" s="113" t="s">
        <v>72</v>
      </c>
      <c r="E45" s="8"/>
      <c r="F45" s="8"/>
      <c r="G45" s="8"/>
      <c r="H45" s="8"/>
      <c r="I45" s="8"/>
      <c r="J45" s="8"/>
      <c r="K45" s="95">
        <f>8*K44</f>
        <v>12.527200000000001</v>
      </c>
    </row>
    <row r="46" spans="4:11" ht="15" thickBot="1" x14ac:dyDescent="0.35">
      <c r="D46" s="113" t="s">
        <v>71</v>
      </c>
      <c r="E46" s="8"/>
      <c r="F46" s="8"/>
      <c r="G46" s="8"/>
      <c r="H46" s="8"/>
      <c r="I46" s="8"/>
      <c r="J46" s="8"/>
      <c r="K46" s="95">
        <f>10*K44</f>
        <v>15.659000000000001</v>
      </c>
    </row>
    <row r="47" spans="4:11" ht="15" thickBot="1" x14ac:dyDescent="0.35">
      <c r="D47" s="122" t="s">
        <v>87</v>
      </c>
      <c r="E47" s="18"/>
      <c r="F47" s="18"/>
      <c r="G47" s="18"/>
      <c r="H47" s="18"/>
      <c r="I47" s="18"/>
      <c r="J47" s="18"/>
      <c r="K47" s="19" t="s">
        <v>86</v>
      </c>
    </row>
    <row r="52" spans="5:8" x14ac:dyDescent="0.3">
      <c r="E52" s="40"/>
      <c r="H52" s="40"/>
    </row>
    <row r="53" spans="5:8" x14ac:dyDescent="0.3">
      <c r="E53" s="4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2015-06-24T01:11:57Z</dcterms:created>
  <dcterms:modified xsi:type="dcterms:W3CDTF">2015-06-26T21:30:18Z</dcterms:modified>
</cp:coreProperties>
</file>